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b76ad20971eac862/Documents/TIPSProject/downloads/docs/"/>
    </mc:Choice>
  </mc:AlternateContent>
  <xr:revisionPtr revIDLastSave="0" documentId="8_{0129B819-9D41-41FC-8663-2DE229543380}" xr6:coauthVersionLast="47" xr6:coauthVersionMax="47" xr10:uidLastSave="{00000000-0000-0000-0000-000000000000}"/>
  <bookViews>
    <workbookView xWindow="1530" yWindow="370" windowWidth="21360" windowHeight="19470" activeTab="2" xr2:uid="{AFEAAEF2-DD4C-4D67-95D5-80245A5508D6}"/>
  </bookViews>
  <sheets>
    <sheet name="WSJ" sheetId="1" r:id="rId1"/>
    <sheet name="Quotes" sheetId="3" r:id="rId2"/>
    <sheet name="Weights" sheetId="4" r:id="rId3"/>
    <sheet name="Prices" sheetId="7" r:id="rId4"/>
    <sheet name="Yields" sheetId="8" r:id="rId5"/>
    <sheet name="YldCrv" sheetId="9" r:id="rId6"/>
    <sheet name="CPI" sheetId="5" r:id="rId7"/>
    <sheet name="Instructions" sheetId="6" r:id="rId8"/>
    <sheet name="Notes" sheetId="2" r:id="rId9"/>
  </sheets>
  <definedNames>
    <definedName name="_xlnm.Print_Area" localSheetId="2">Weights!$V$3:$AC$12</definedName>
    <definedName name="wsj_paste_here">WSJ!$C$3:$I$65</definedName>
    <definedName name="wsj_quotes">WSJ!$A$3:$K$70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0" i="3" l="1"/>
  <c r="C30" i="3"/>
  <c r="B31" i="3"/>
  <c r="C31" i="3"/>
  <c r="B32" i="3"/>
  <c r="C32" i="3"/>
  <c r="B33" i="3"/>
  <c r="C33" i="3"/>
  <c r="B34" i="3"/>
  <c r="A34" i="3" s="1"/>
  <c r="C34" i="3"/>
  <c r="B35" i="3"/>
  <c r="C35" i="3"/>
  <c r="B36" i="3"/>
  <c r="C36" i="3"/>
  <c r="B37" i="3"/>
  <c r="C37" i="3"/>
  <c r="B38" i="3"/>
  <c r="C38" i="3"/>
  <c r="B39" i="3"/>
  <c r="C39" i="3"/>
  <c r="B40" i="3"/>
  <c r="A40" i="3" s="1"/>
  <c r="C40" i="3"/>
  <c r="B41" i="3"/>
  <c r="C41" i="3"/>
  <c r="B42" i="3"/>
  <c r="C42" i="3"/>
  <c r="B43" i="3"/>
  <c r="C43" i="3"/>
  <c r="B44" i="3"/>
  <c r="C44" i="3"/>
  <c r="B45" i="3"/>
  <c r="C45" i="3"/>
  <c r="B46" i="3"/>
  <c r="A46" i="3" s="1"/>
  <c r="C46" i="3"/>
  <c r="B47" i="3"/>
  <c r="C47" i="3"/>
  <c r="B48" i="3"/>
  <c r="C48" i="3"/>
  <c r="B49" i="3"/>
  <c r="C49" i="3"/>
  <c r="B50" i="3"/>
  <c r="C50" i="3"/>
  <c r="B51" i="3"/>
  <c r="C51" i="3"/>
  <c r="B52" i="3"/>
  <c r="A52" i="3" s="1"/>
  <c r="C52" i="3"/>
  <c r="B53" i="3"/>
  <c r="C53" i="3"/>
  <c r="B54" i="3"/>
  <c r="C54" i="3"/>
  <c r="B55" i="3"/>
  <c r="C55" i="3"/>
  <c r="B56" i="3"/>
  <c r="C56" i="3"/>
  <c r="B57" i="3"/>
  <c r="C57" i="3"/>
  <c r="D129" i="4"/>
  <c r="D130" i="4" s="1"/>
  <c r="D131" i="4" s="1"/>
  <c r="D132" i="4" s="1"/>
  <c r="D133" i="4" s="1"/>
  <c r="D134" i="4" s="1"/>
  <c r="D135" i="4" s="1"/>
  <c r="D136" i="4" s="1"/>
  <c r="D137" i="4" s="1"/>
  <c r="A56" i="8"/>
  <c r="B56" i="8"/>
  <c r="A57" i="8"/>
  <c r="B57" i="8"/>
  <c r="A6" i="8"/>
  <c r="B6" i="8"/>
  <c r="A7" i="8"/>
  <c r="B7" i="8"/>
  <c r="A8" i="8"/>
  <c r="B8" i="8"/>
  <c r="A9" i="8"/>
  <c r="B9" i="8"/>
  <c r="A10" i="8"/>
  <c r="B10" i="8"/>
  <c r="A11" i="8"/>
  <c r="B11" i="8"/>
  <c r="A12" i="8"/>
  <c r="B12" i="8"/>
  <c r="A13" i="8"/>
  <c r="B13" i="8"/>
  <c r="A14" i="8"/>
  <c r="B14" i="8"/>
  <c r="A15" i="8"/>
  <c r="B15" i="8"/>
  <c r="A16" i="8"/>
  <c r="B16" i="8"/>
  <c r="A17" i="8"/>
  <c r="B17" i="8"/>
  <c r="A18" i="8"/>
  <c r="B18" i="8"/>
  <c r="A19" i="8"/>
  <c r="B19" i="8"/>
  <c r="A20" i="8"/>
  <c r="B20" i="8"/>
  <c r="A21" i="8"/>
  <c r="B21" i="8"/>
  <c r="A22" i="8"/>
  <c r="B22" i="8"/>
  <c r="A23" i="8"/>
  <c r="B23" i="8"/>
  <c r="A24" i="8"/>
  <c r="B24" i="8"/>
  <c r="A25" i="8"/>
  <c r="B25" i="8"/>
  <c r="A26" i="8"/>
  <c r="B26" i="8"/>
  <c r="A27" i="8"/>
  <c r="B27" i="8"/>
  <c r="A28" i="8"/>
  <c r="B28" i="8"/>
  <c r="A29" i="8"/>
  <c r="B29" i="8"/>
  <c r="A30" i="8"/>
  <c r="B30" i="8"/>
  <c r="A31" i="8"/>
  <c r="B31" i="8"/>
  <c r="A32" i="8"/>
  <c r="B32" i="8"/>
  <c r="A33" i="8"/>
  <c r="B33" i="8"/>
  <c r="A34" i="8"/>
  <c r="B34" i="8"/>
  <c r="A35" i="8"/>
  <c r="B35" i="8"/>
  <c r="A36" i="8"/>
  <c r="B36" i="8"/>
  <c r="A37" i="8"/>
  <c r="B37" i="8"/>
  <c r="A38" i="8"/>
  <c r="B38" i="8"/>
  <c r="A39" i="8"/>
  <c r="B39" i="8"/>
  <c r="A40" i="8"/>
  <c r="B40" i="8"/>
  <c r="A41" i="8"/>
  <c r="B41" i="8"/>
  <c r="A42" i="8"/>
  <c r="B42" i="8"/>
  <c r="A43" i="8"/>
  <c r="B43" i="8"/>
  <c r="A44" i="8"/>
  <c r="B44" i="8"/>
  <c r="A45" i="8"/>
  <c r="B45" i="8"/>
  <c r="A46" i="8"/>
  <c r="B46" i="8"/>
  <c r="A47" i="8"/>
  <c r="B47" i="8"/>
  <c r="A48" i="8"/>
  <c r="B48" i="8"/>
  <c r="A49" i="8"/>
  <c r="B49" i="8"/>
  <c r="A50" i="8"/>
  <c r="B50" i="8"/>
  <c r="A51" i="8"/>
  <c r="B51" i="8"/>
  <c r="A52" i="8"/>
  <c r="B52" i="8"/>
  <c r="A53" i="8"/>
  <c r="B53" i="8"/>
  <c r="A54" i="8"/>
  <c r="B54" i="8"/>
  <c r="A55" i="8"/>
  <c r="B55" i="8"/>
  <c r="A56" i="7"/>
  <c r="B56" i="7"/>
  <c r="A57" i="7"/>
  <c r="B57" i="7"/>
  <c r="A6" i="7"/>
  <c r="B6" i="7"/>
  <c r="A7" i="7"/>
  <c r="B7" i="7"/>
  <c r="A8" i="7"/>
  <c r="B8" i="7"/>
  <c r="A9" i="7"/>
  <c r="B9" i="7"/>
  <c r="A10" i="7"/>
  <c r="B10" i="7"/>
  <c r="A11" i="7"/>
  <c r="B11" i="7"/>
  <c r="A12" i="7"/>
  <c r="B12" i="7"/>
  <c r="A13" i="7"/>
  <c r="B13" i="7"/>
  <c r="A14" i="7"/>
  <c r="B14" i="7"/>
  <c r="A15" i="7"/>
  <c r="B15" i="7"/>
  <c r="A16" i="7"/>
  <c r="B16" i="7"/>
  <c r="A17" i="7"/>
  <c r="B17" i="7"/>
  <c r="A18" i="7"/>
  <c r="B18" i="7"/>
  <c r="A19" i="7"/>
  <c r="B19" i="7"/>
  <c r="A20" i="7"/>
  <c r="B20" i="7"/>
  <c r="A21" i="7"/>
  <c r="B21" i="7"/>
  <c r="A22" i="7"/>
  <c r="B22" i="7"/>
  <c r="A23" i="7"/>
  <c r="B23" i="7"/>
  <c r="A24" i="7"/>
  <c r="B24" i="7"/>
  <c r="A25" i="7"/>
  <c r="B25" i="7"/>
  <c r="A26" i="7"/>
  <c r="B26" i="7"/>
  <c r="A27" i="7"/>
  <c r="B27" i="7"/>
  <c r="A28" i="7"/>
  <c r="B28" i="7"/>
  <c r="A29" i="7"/>
  <c r="B29" i="7"/>
  <c r="A30" i="7"/>
  <c r="B30" i="7"/>
  <c r="A31" i="7"/>
  <c r="B31" i="7"/>
  <c r="A32" i="7"/>
  <c r="B32" i="7"/>
  <c r="A33" i="7"/>
  <c r="B33" i="7"/>
  <c r="A34" i="7"/>
  <c r="B34" i="7"/>
  <c r="A35" i="7"/>
  <c r="B35" i="7"/>
  <c r="A36" i="7"/>
  <c r="B36" i="7"/>
  <c r="A37" i="7"/>
  <c r="B37" i="7"/>
  <c r="A38" i="7"/>
  <c r="B38" i="7"/>
  <c r="A39" i="7"/>
  <c r="B39" i="7"/>
  <c r="A40" i="7"/>
  <c r="B40" i="7"/>
  <c r="A41" i="7"/>
  <c r="B41" i="7"/>
  <c r="A42" i="7"/>
  <c r="B42" i="7"/>
  <c r="A43" i="7"/>
  <c r="B43" i="7"/>
  <c r="A44" i="7"/>
  <c r="B44" i="7"/>
  <c r="A45" i="7"/>
  <c r="B45" i="7"/>
  <c r="A46" i="7"/>
  <c r="B46" i="7"/>
  <c r="A47" i="7"/>
  <c r="B47" i="7"/>
  <c r="A48" i="7"/>
  <c r="B48" i="7"/>
  <c r="A49" i="7"/>
  <c r="B49" i="7"/>
  <c r="A50" i="7"/>
  <c r="B50" i="7"/>
  <c r="A51" i="7"/>
  <c r="B51" i="7"/>
  <c r="A52" i="7"/>
  <c r="B52" i="7"/>
  <c r="A53" i="7"/>
  <c r="B53" i="7"/>
  <c r="A54" i="7"/>
  <c r="B54" i="7"/>
  <c r="A55" i="7"/>
  <c r="B55" i="7"/>
  <c r="F1" i="3"/>
  <c r="J88" i="4"/>
  <c r="J89" i="4" s="1"/>
  <c r="E89" i="4"/>
  <c r="F89" i="4"/>
  <c r="G89" i="4"/>
  <c r="H89" i="4"/>
  <c r="I89" i="4"/>
  <c r="D89" i="4"/>
  <c r="D84" i="4"/>
  <c r="D92" i="4" s="1"/>
  <c r="A54" i="3" l="1"/>
  <c r="A48" i="3"/>
  <c r="A42" i="3"/>
  <c r="A36" i="3"/>
  <c r="A30" i="3"/>
  <c r="A55" i="3"/>
  <c r="A49" i="3"/>
  <c r="A43" i="3"/>
  <c r="A37" i="3"/>
  <c r="A31" i="3"/>
  <c r="A41" i="3"/>
  <c r="A53" i="3"/>
  <c r="A35" i="3"/>
  <c r="A47" i="3"/>
  <c r="A57" i="3"/>
  <c r="A51" i="3"/>
  <c r="A45" i="3"/>
  <c r="A39" i="3"/>
  <c r="A33" i="3"/>
  <c r="A56" i="3"/>
  <c r="A50" i="3"/>
  <c r="A44" i="3"/>
  <c r="A38" i="3"/>
  <c r="A32" i="3"/>
  <c r="D94" i="4"/>
  <c r="D95" i="4"/>
  <c r="D93" i="4"/>
  <c r="F3" i="7"/>
  <c r="F5" i="7" s="1" a="1"/>
  <c r="F5" i="7" s="1"/>
  <c r="E3" i="7"/>
  <c r="E5" i="7" s="1" a="1"/>
  <c r="E5" i="7" s="1"/>
  <c r="F3" i="8"/>
  <c r="F5" i="8" s="1" a="1"/>
  <c r="F5" i="8" s="1"/>
  <c r="E3" i="8"/>
  <c r="E5" i="8" s="1" a="1"/>
  <c r="E5" i="8" s="1"/>
  <c r="D4" i="9" a="1"/>
  <c r="D4" i="9" s="1"/>
  <c r="D3" i="9"/>
  <c r="G8" i="4"/>
  <c r="G9" i="4" s="1" a="1"/>
  <c r="G9" i="4" s="1"/>
  <c r="B28" i="3"/>
  <c r="C28" i="3"/>
  <c r="B29" i="3"/>
  <c r="C29" i="3"/>
  <c r="H4" i="7"/>
  <c r="H4" i="8"/>
  <c r="H1" i="7"/>
  <c r="F1" i="9"/>
  <c r="X99" i="4"/>
  <c r="Y99" i="4" s="1"/>
  <c r="Z99" i="4" s="1"/>
  <c r="AA99" i="4" s="1"/>
  <c r="AB99" i="4" s="1"/>
  <c r="F2" i="3"/>
  <c r="H1" i="8"/>
  <c r="B5" i="3"/>
  <c r="C5" i="3"/>
  <c r="B6" i="3"/>
  <c r="C6" i="3"/>
  <c r="B7" i="3"/>
  <c r="C7" i="3"/>
  <c r="B8" i="3"/>
  <c r="C8" i="3"/>
  <c r="B9" i="3"/>
  <c r="C9" i="3"/>
  <c r="B10" i="3"/>
  <c r="C10" i="3"/>
  <c r="B11" i="3"/>
  <c r="C11" i="3"/>
  <c r="B12" i="3"/>
  <c r="C12" i="3"/>
  <c r="B13" i="3"/>
  <c r="C13" i="3"/>
  <c r="B14" i="3"/>
  <c r="C14" i="3"/>
  <c r="B15" i="3"/>
  <c r="C15" i="3"/>
  <c r="B16" i="3"/>
  <c r="C16" i="3"/>
  <c r="B17" i="3"/>
  <c r="C17" i="3"/>
  <c r="B18" i="3"/>
  <c r="C18" i="3"/>
  <c r="B19" i="3"/>
  <c r="C19" i="3"/>
  <c r="B20" i="3"/>
  <c r="C20" i="3"/>
  <c r="B21" i="3"/>
  <c r="C21" i="3"/>
  <c r="B22" i="3"/>
  <c r="C22" i="3"/>
  <c r="B23" i="3"/>
  <c r="C23" i="3"/>
  <c r="B24" i="3"/>
  <c r="C24" i="3"/>
  <c r="B25" i="3"/>
  <c r="C25" i="3"/>
  <c r="B26" i="3"/>
  <c r="C26" i="3"/>
  <c r="B27" i="3"/>
  <c r="C27" i="3"/>
  <c r="X81" i="4"/>
  <c r="X86" i="4" s="1"/>
  <c r="W90" i="4"/>
  <c r="X12" i="4"/>
  <c r="X96" i="4"/>
  <c r="X15" i="4"/>
  <c r="G10" i="4" l="1" a="1"/>
  <c r="G10" i="4" s="1"/>
  <c r="X106" i="4"/>
  <c r="X107" i="4"/>
  <c r="H5" i="8"/>
  <c r="F4" i="9"/>
  <c r="H5" i="7"/>
  <c r="X85" i="4"/>
  <c r="W91" i="4"/>
  <c r="G12" i="4" l="1"/>
  <c r="F12" i="4"/>
  <c r="G11" i="4"/>
  <c r="H10" i="4"/>
  <c r="AC4" i="4"/>
  <c r="Z4" i="4"/>
  <c r="AB4" i="4"/>
  <c r="AA5" i="4"/>
  <c r="AA4" i="4"/>
  <c r="Y4" i="4"/>
  <c r="H9" i="4"/>
  <c r="AB5" i="4"/>
  <c r="Z5" i="4"/>
  <c r="Y5" i="4"/>
  <c r="AC5" i="4"/>
  <c r="AC104" i="4"/>
  <c r="AC41" i="4" l="1"/>
  <c r="D41" i="4"/>
  <c r="E41" i="4" s="1"/>
  <c r="G41" i="4" s="1"/>
  <c r="O41" i="4"/>
  <c r="N41" i="4"/>
  <c r="L41" i="4"/>
  <c r="L74" i="4"/>
  <c r="L62" i="4"/>
  <c r="L50" i="4"/>
  <c r="L37" i="4"/>
  <c r="L25" i="4"/>
  <c r="L72" i="4"/>
  <c r="L48" i="4"/>
  <c r="L23" i="4"/>
  <c r="L59" i="4"/>
  <c r="L34" i="4"/>
  <c r="L70" i="4"/>
  <c r="L46" i="4"/>
  <c r="L21" i="4"/>
  <c r="L73" i="4"/>
  <c r="L61" i="4"/>
  <c r="L49" i="4"/>
  <c r="L36" i="4"/>
  <c r="L24" i="4"/>
  <c r="L60" i="4"/>
  <c r="L35" i="4"/>
  <c r="L71" i="4"/>
  <c r="L47" i="4"/>
  <c r="L22" i="4"/>
  <c r="L58" i="4"/>
  <c r="L33" i="4"/>
  <c r="L69" i="4"/>
  <c r="L57" i="4"/>
  <c r="L45" i="4"/>
  <c r="L32" i="4"/>
  <c r="L20" i="4"/>
  <c r="L43" i="4"/>
  <c r="L30" i="4"/>
  <c r="L18" i="4"/>
  <c r="L52" i="4"/>
  <c r="L27" i="4"/>
  <c r="L63" i="4"/>
  <c r="L38" i="4"/>
  <c r="L68" i="4"/>
  <c r="L56" i="4"/>
  <c r="L44" i="4"/>
  <c r="L31" i="4"/>
  <c r="L19" i="4"/>
  <c r="L55" i="4"/>
  <c r="L76" i="4"/>
  <c r="L51" i="4"/>
  <c r="L26" i="4"/>
  <c r="L67" i="4"/>
  <c r="L66" i="4"/>
  <c r="L54" i="4"/>
  <c r="L42" i="4"/>
  <c r="L29" i="4"/>
  <c r="L17" i="4"/>
  <c r="L77" i="4"/>
  <c r="L65" i="4"/>
  <c r="L53" i="4"/>
  <c r="L40" i="4"/>
  <c r="L28" i="4"/>
  <c r="L16" i="4"/>
  <c r="L64" i="4"/>
  <c r="L39" i="4"/>
  <c r="L75" i="4"/>
  <c r="M77" i="4"/>
  <c r="M76" i="4"/>
  <c r="M75" i="4"/>
  <c r="M73" i="4"/>
  <c r="M72" i="4"/>
  <c r="M74" i="4"/>
  <c r="M71" i="4"/>
  <c r="M70" i="4"/>
  <c r="M69" i="4"/>
  <c r="AC52" i="4"/>
  <c r="O52" i="4"/>
  <c r="Z52" i="4"/>
  <c r="N52" i="4"/>
  <c r="Y52" i="4"/>
  <c r="D52" i="4"/>
  <c r="E52" i="4" s="1"/>
  <c r="G52" i="4" s="1"/>
  <c r="E77" i="4"/>
  <c r="E71" i="4"/>
  <c r="D62" i="4"/>
  <c r="E62" i="4" s="1"/>
  <c r="G62" i="4" s="1"/>
  <c r="D49" i="4"/>
  <c r="E49" i="4" s="1"/>
  <c r="G49" i="4" s="1"/>
  <c r="D36" i="4"/>
  <c r="E36" i="4" s="1"/>
  <c r="G36" i="4" s="1"/>
  <c r="D24" i="4"/>
  <c r="E24" i="4" s="1"/>
  <c r="G24" i="4" s="1"/>
  <c r="D57" i="4"/>
  <c r="E57" i="4" s="1"/>
  <c r="G57" i="4" s="1"/>
  <c r="D43" i="4"/>
  <c r="E43" i="4" s="1"/>
  <c r="G43" i="4" s="1"/>
  <c r="D74" i="4"/>
  <c r="D16" i="4"/>
  <c r="E16" i="4" s="1"/>
  <c r="G16" i="4" s="1"/>
  <c r="D53" i="4"/>
  <c r="E53" i="4" s="1"/>
  <c r="G53" i="4" s="1"/>
  <c r="D51" i="4"/>
  <c r="E51" i="4" s="1"/>
  <c r="G51" i="4" s="1"/>
  <c r="D25" i="4"/>
  <c r="E25" i="4" s="1"/>
  <c r="G25" i="4" s="1"/>
  <c r="D77" i="4"/>
  <c r="D71" i="4"/>
  <c r="D61" i="4"/>
  <c r="E61" i="4" s="1"/>
  <c r="G61" i="4" s="1"/>
  <c r="D48" i="4"/>
  <c r="E48" i="4" s="1"/>
  <c r="G48" i="4" s="1"/>
  <c r="D35" i="4"/>
  <c r="E35" i="4" s="1"/>
  <c r="G35" i="4" s="1"/>
  <c r="D23" i="4"/>
  <c r="E23" i="4" s="1"/>
  <c r="G23" i="4" s="1"/>
  <c r="D32" i="4"/>
  <c r="E32" i="4" s="1"/>
  <c r="G32" i="4" s="1"/>
  <c r="D19" i="4"/>
  <c r="E19" i="4" s="1"/>
  <c r="G19" i="4" s="1"/>
  <c r="D56" i="4"/>
  <c r="E56" i="4" s="1"/>
  <c r="G56" i="4" s="1"/>
  <c r="D42" i="4"/>
  <c r="E42" i="4" s="1"/>
  <c r="G42" i="4" s="1"/>
  <c r="D54" i="4"/>
  <c r="E54" i="4" s="1"/>
  <c r="G54" i="4" s="1"/>
  <c r="E72" i="4"/>
  <c r="E76" i="4"/>
  <c r="E70" i="4"/>
  <c r="D60" i="4"/>
  <c r="E60" i="4" s="1"/>
  <c r="G60" i="4" s="1"/>
  <c r="D47" i="4"/>
  <c r="E47" i="4" s="1"/>
  <c r="G47" i="4" s="1"/>
  <c r="D34" i="4"/>
  <c r="E34" i="4" s="1"/>
  <c r="G34" i="4" s="1"/>
  <c r="D22" i="4"/>
  <c r="E22" i="4" s="1"/>
  <c r="G22" i="4" s="1"/>
  <c r="D45" i="4"/>
  <c r="E45" i="4" s="1"/>
  <c r="G45" i="4" s="1"/>
  <c r="D20" i="4"/>
  <c r="E20" i="4" s="1"/>
  <c r="G20" i="4" s="1"/>
  <c r="E74" i="4"/>
  <c r="D67" i="4"/>
  <c r="E67" i="4" s="1"/>
  <c r="G67" i="4" s="1"/>
  <c r="D40" i="4"/>
  <c r="E40" i="4" s="1"/>
  <c r="G40" i="4" s="1"/>
  <c r="D39" i="4"/>
  <c r="E39" i="4" s="1"/>
  <c r="G39" i="4" s="1"/>
  <c r="D64" i="4"/>
  <c r="E64" i="4" s="1"/>
  <c r="G64" i="4" s="1"/>
  <c r="D50" i="4"/>
  <c r="E50" i="4" s="1"/>
  <c r="G50" i="4" s="1"/>
  <c r="D76" i="4"/>
  <c r="D70" i="4"/>
  <c r="D59" i="4"/>
  <c r="E59" i="4" s="1"/>
  <c r="G59" i="4" s="1"/>
  <c r="D46" i="4"/>
  <c r="E46" i="4" s="1"/>
  <c r="G46" i="4" s="1"/>
  <c r="D33" i="4"/>
  <c r="E33" i="4" s="1"/>
  <c r="G33" i="4" s="1"/>
  <c r="D21" i="4"/>
  <c r="E21" i="4" s="1"/>
  <c r="G21" i="4" s="1"/>
  <c r="D58" i="4"/>
  <c r="E58" i="4" s="1"/>
  <c r="G58" i="4" s="1"/>
  <c r="D44" i="4"/>
  <c r="E44" i="4" s="1"/>
  <c r="G44" i="4" s="1"/>
  <c r="D68" i="4"/>
  <c r="E68" i="4" s="1"/>
  <c r="G68" i="4" s="1"/>
  <c r="D55" i="4"/>
  <c r="E55" i="4" s="1"/>
  <c r="G55" i="4" s="1"/>
  <c r="D28" i="4"/>
  <c r="E28" i="4" s="1"/>
  <c r="G28" i="4" s="1"/>
  <c r="D65" i="4"/>
  <c r="E65" i="4" s="1"/>
  <c r="G65" i="4" s="1"/>
  <c r="D72" i="4"/>
  <c r="E75" i="4"/>
  <c r="E69" i="4"/>
  <c r="D30" i="4"/>
  <c r="E30" i="4" s="1"/>
  <c r="G30" i="4" s="1"/>
  <c r="D17" i="4"/>
  <c r="E17" i="4" s="1"/>
  <c r="G17" i="4" s="1"/>
  <c r="E73" i="4"/>
  <c r="D27" i="4"/>
  <c r="E27" i="4" s="1"/>
  <c r="G27" i="4" s="1"/>
  <c r="D38" i="4"/>
  <c r="E38" i="4" s="1"/>
  <c r="G38" i="4" s="1"/>
  <c r="D37" i="4"/>
  <c r="E37" i="4" s="1"/>
  <c r="G37" i="4" s="1"/>
  <c r="D75" i="4"/>
  <c r="D69" i="4"/>
  <c r="D31" i="4"/>
  <c r="E31" i="4" s="1"/>
  <c r="G31" i="4" s="1"/>
  <c r="D18" i="4"/>
  <c r="E18" i="4" s="1"/>
  <c r="G18" i="4" s="1"/>
  <c r="D29" i="4"/>
  <c r="E29" i="4" s="1"/>
  <c r="G29" i="4" s="1"/>
  <c r="D66" i="4"/>
  <c r="E66" i="4" s="1"/>
  <c r="G66" i="4" s="1"/>
  <c r="D26" i="4"/>
  <c r="E26" i="4" s="1"/>
  <c r="G26" i="4" s="1"/>
  <c r="D63" i="4"/>
  <c r="E63" i="4" s="1"/>
  <c r="G63" i="4" s="1"/>
  <c r="D73" i="4"/>
  <c r="F77" i="4"/>
  <c r="F76" i="4"/>
  <c r="F75" i="4"/>
  <c r="F74" i="4"/>
  <c r="F73" i="4"/>
  <c r="F72" i="4"/>
  <c r="F71" i="4"/>
  <c r="F70" i="4"/>
  <c r="F69" i="4"/>
  <c r="K77" i="4"/>
  <c r="K71" i="4"/>
  <c r="I77" i="4"/>
  <c r="I71" i="4"/>
  <c r="K76" i="4"/>
  <c r="K70" i="4"/>
  <c r="K75" i="4"/>
  <c r="I76" i="4"/>
  <c r="I70" i="4"/>
  <c r="K69" i="4"/>
  <c r="I75" i="4"/>
  <c r="I69" i="4"/>
  <c r="K74" i="4"/>
  <c r="I72" i="4"/>
  <c r="I74" i="4"/>
  <c r="K73" i="4"/>
  <c r="I73" i="4"/>
  <c r="K72" i="4"/>
  <c r="AC39" i="4"/>
  <c r="O39" i="4"/>
  <c r="N39" i="4"/>
  <c r="AC51" i="4"/>
  <c r="O51" i="4"/>
  <c r="Z51" i="4"/>
  <c r="N51" i="4"/>
  <c r="Y51" i="4"/>
  <c r="AC77" i="4"/>
  <c r="AA75" i="4"/>
  <c r="Y73" i="4"/>
  <c r="AB70" i="4"/>
  <c r="Z68" i="4"/>
  <c r="AA63" i="4"/>
  <c r="Y61" i="4"/>
  <c r="Z56" i="4"/>
  <c r="Y47" i="4"/>
  <c r="Z42" i="4"/>
  <c r="AC37" i="4"/>
  <c r="AC25" i="4"/>
  <c r="AB77" i="4"/>
  <c r="Z75" i="4"/>
  <c r="AC72" i="4"/>
  <c r="Y68" i="4"/>
  <c r="Z63" i="4"/>
  <c r="AA58" i="4"/>
  <c r="Y56" i="4"/>
  <c r="Z49" i="4"/>
  <c r="AC46" i="4"/>
  <c r="Y42" i="4"/>
  <c r="AC32" i="4"/>
  <c r="AC20" i="4"/>
  <c r="AA70" i="4"/>
  <c r="AA77" i="4"/>
  <c r="Y75" i="4"/>
  <c r="AB72" i="4"/>
  <c r="Z70" i="4"/>
  <c r="AA65" i="4"/>
  <c r="Y63" i="4"/>
  <c r="Z58" i="4"/>
  <c r="AA53" i="4"/>
  <c r="Y49" i="4"/>
  <c r="Z44" i="4"/>
  <c r="AC40" i="4"/>
  <c r="AC27" i="4"/>
  <c r="Y77" i="4"/>
  <c r="Z72" i="4"/>
  <c r="AC69" i="4"/>
  <c r="Y65" i="4"/>
  <c r="Z60" i="4"/>
  <c r="AA55" i="4"/>
  <c r="Y53" i="4"/>
  <c r="Z46" i="4"/>
  <c r="AC17" i="4"/>
  <c r="Z77" i="4"/>
  <c r="AC74" i="4"/>
  <c r="AA72" i="4"/>
  <c r="Y70" i="4"/>
  <c r="Z65" i="4"/>
  <c r="AA60" i="4"/>
  <c r="Y58" i="4"/>
  <c r="Z53" i="4"/>
  <c r="AC48" i="4"/>
  <c r="Y44" i="4"/>
  <c r="AC34" i="4"/>
  <c r="AC22" i="4"/>
  <c r="AB74" i="4"/>
  <c r="AA67" i="4"/>
  <c r="AC43" i="4"/>
  <c r="AC29" i="4"/>
  <c r="Z61" i="4"/>
  <c r="AC76" i="4"/>
  <c r="AA74" i="4"/>
  <c r="Y72" i="4"/>
  <c r="AB69" i="4"/>
  <c r="Z67" i="4"/>
  <c r="AA62" i="4"/>
  <c r="Y60" i="4"/>
  <c r="Z55" i="4"/>
  <c r="AC50" i="4"/>
  <c r="Y46" i="4"/>
  <c r="AC36" i="4"/>
  <c r="AC24" i="4"/>
  <c r="Y66" i="4"/>
  <c r="AC30" i="4"/>
  <c r="AB76" i="4"/>
  <c r="Z74" i="4"/>
  <c r="AC71" i="4"/>
  <c r="AA69" i="4"/>
  <c r="Y67" i="4"/>
  <c r="Z62" i="4"/>
  <c r="AA57" i="4"/>
  <c r="Y55" i="4"/>
  <c r="Z48" i="4"/>
  <c r="AC45" i="4"/>
  <c r="AC31" i="4"/>
  <c r="AC19" i="4"/>
  <c r="Z73" i="4"/>
  <c r="AC18" i="4"/>
  <c r="AA76" i="4"/>
  <c r="Y74" i="4"/>
  <c r="AB71" i="4"/>
  <c r="Z69" i="4"/>
  <c r="AA64" i="4"/>
  <c r="Y62" i="4"/>
  <c r="Z57" i="4"/>
  <c r="Y48" i="4"/>
  <c r="Z43" i="4"/>
  <c r="AC38" i="4"/>
  <c r="AC26" i="4"/>
  <c r="AA68" i="4"/>
  <c r="AA56" i="4"/>
  <c r="AC44" i="4"/>
  <c r="Z76" i="4"/>
  <c r="AC73" i="4"/>
  <c r="AA71" i="4"/>
  <c r="Y69" i="4"/>
  <c r="Z64" i="4"/>
  <c r="AA59" i="4"/>
  <c r="Y57" i="4"/>
  <c r="Z50" i="4"/>
  <c r="AC47" i="4"/>
  <c r="Y43" i="4"/>
  <c r="AC33" i="4"/>
  <c r="AC21" i="4"/>
  <c r="AA73" i="4"/>
  <c r="Y59" i="4"/>
  <c r="Z54" i="4"/>
  <c r="AC35" i="4"/>
  <c r="AC23" i="4"/>
  <c r="AB75" i="4"/>
  <c r="Z47" i="4"/>
  <c r="Y76" i="4"/>
  <c r="AB73" i="4"/>
  <c r="Z71" i="4"/>
  <c r="AA66" i="4"/>
  <c r="Y64" i="4"/>
  <c r="Z59" i="4"/>
  <c r="AA54" i="4"/>
  <c r="Y50" i="4"/>
  <c r="Z45" i="4"/>
  <c r="AC42" i="4"/>
  <c r="AC28" i="4"/>
  <c r="AC16" i="4"/>
  <c r="AC75" i="4"/>
  <c r="Y71" i="4"/>
  <c r="Z66" i="4"/>
  <c r="AA61" i="4"/>
  <c r="AC49" i="4"/>
  <c r="Y45" i="4"/>
  <c r="AC70" i="4"/>
  <c r="Y54" i="4"/>
  <c r="O77" i="4"/>
  <c r="O65" i="4"/>
  <c r="O53" i="4"/>
  <c r="O37" i="4"/>
  <c r="O25" i="4"/>
  <c r="O64" i="4"/>
  <c r="O50" i="4"/>
  <c r="O36" i="4"/>
  <c r="O24" i="4"/>
  <c r="O63" i="4"/>
  <c r="O49" i="4"/>
  <c r="O23" i="4"/>
  <c r="O76" i="4"/>
  <c r="O75" i="4"/>
  <c r="O35" i="4"/>
  <c r="O74" i="4"/>
  <c r="O62" i="4"/>
  <c r="O48" i="4"/>
  <c r="O34" i="4"/>
  <c r="O22" i="4"/>
  <c r="O46" i="4"/>
  <c r="O32" i="4"/>
  <c r="O20" i="4"/>
  <c r="O26" i="4"/>
  <c r="O73" i="4"/>
  <c r="O61" i="4"/>
  <c r="O47" i="4"/>
  <c r="O33" i="4"/>
  <c r="O21" i="4"/>
  <c r="O60" i="4"/>
  <c r="O66" i="4"/>
  <c r="O72" i="4"/>
  <c r="O71" i="4"/>
  <c r="O59" i="4"/>
  <c r="O45" i="4"/>
  <c r="O31" i="4"/>
  <c r="O19" i="4"/>
  <c r="O43" i="4"/>
  <c r="O29" i="4"/>
  <c r="O17" i="4"/>
  <c r="O54" i="4"/>
  <c r="O70" i="4"/>
  <c r="O58" i="4"/>
  <c r="O44" i="4"/>
  <c r="O30" i="4"/>
  <c r="O18" i="4"/>
  <c r="O57" i="4"/>
  <c r="O69" i="4"/>
  <c r="O68" i="4"/>
  <c r="O56" i="4"/>
  <c r="O42" i="4"/>
  <c r="O28" i="4"/>
  <c r="O16" i="4"/>
  <c r="O67" i="4"/>
  <c r="O55" i="4"/>
  <c r="O40" i="4"/>
  <c r="O27" i="4"/>
  <c r="O38" i="4"/>
  <c r="Q77" i="4"/>
  <c r="N76" i="4"/>
  <c r="W75" i="4"/>
  <c r="J75" i="4"/>
  <c r="T74" i="4"/>
  <c r="Q73" i="4"/>
  <c r="N72" i="4"/>
  <c r="W71" i="4"/>
  <c r="J71" i="4"/>
  <c r="T70" i="4"/>
  <c r="Q69" i="4"/>
  <c r="N68" i="4"/>
  <c r="J74" i="4"/>
  <c r="T69" i="4"/>
  <c r="N63" i="4"/>
  <c r="N48" i="4"/>
  <c r="N26" i="4"/>
  <c r="N19" i="4"/>
  <c r="P77" i="4"/>
  <c r="V75" i="4"/>
  <c r="H75" i="4"/>
  <c r="S74" i="4"/>
  <c r="P73" i="4"/>
  <c r="V71" i="4"/>
  <c r="H71" i="4"/>
  <c r="S70" i="4"/>
  <c r="P69" i="4"/>
  <c r="N49" i="4"/>
  <c r="N38" i="4"/>
  <c r="N32" i="4"/>
  <c r="N27" i="4"/>
  <c r="X76" i="4"/>
  <c r="U75" i="4"/>
  <c r="G75" i="4"/>
  <c r="R74" i="4"/>
  <c r="X72" i="4"/>
  <c r="U71" i="4"/>
  <c r="G71" i="4"/>
  <c r="R70" i="4"/>
  <c r="N64" i="4"/>
  <c r="N61" i="4"/>
  <c r="N60" i="4"/>
  <c r="N57" i="4"/>
  <c r="N21" i="4"/>
  <c r="W74" i="4"/>
  <c r="Q72" i="4"/>
  <c r="J70" i="4"/>
  <c r="N29" i="4"/>
  <c r="N77" i="4"/>
  <c r="W76" i="4"/>
  <c r="J76" i="4"/>
  <c r="T75" i="4"/>
  <c r="Q74" i="4"/>
  <c r="N73" i="4"/>
  <c r="W72" i="4"/>
  <c r="J72" i="4"/>
  <c r="T71" i="4"/>
  <c r="Q70" i="4"/>
  <c r="N69" i="4"/>
  <c r="N65" i="4"/>
  <c r="N56" i="4"/>
  <c r="N45" i="4"/>
  <c r="N24" i="4"/>
  <c r="N75" i="4"/>
  <c r="T73" i="4"/>
  <c r="N71" i="4"/>
  <c r="N35" i="4"/>
  <c r="N17" i="4"/>
  <c r="V76" i="4"/>
  <c r="H76" i="4"/>
  <c r="S75" i="4"/>
  <c r="P74" i="4"/>
  <c r="V72" i="4"/>
  <c r="H72" i="4"/>
  <c r="S71" i="4"/>
  <c r="P70" i="4"/>
  <c r="N62" i="4"/>
  <c r="N58" i="4"/>
  <c r="N30" i="4"/>
  <c r="N20" i="4"/>
  <c r="N18" i="4"/>
  <c r="X77" i="4"/>
  <c r="U76" i="4"/>
  <c r="G76" i="4"/>
  <c r="R75" i="4"/>
  <c r="X73" i="4"/>
  <c r="U72" i="4"/>
  <c r="G72" i="4"/>
  <c r="R71" i="4"/>
  <c r="X69" i="4"/>
  <c r="N50" i="4"/>
  <c r="N40" i="4"/>
  <c r="N42" i="4"/>
  <c r="W77" i="4"/>
  <c r="J77" i="4"/>
  <c r="T76" i="4"/>
  <c r="Q75" i="4"/>
  <c r="N74" i="4"/>
  <c r="W73" i="4"/>
  <c r="J73" i="4"/>
  <c r="T72" i="4"/>
  <c r="Q71" i="4"/>
  <c r="N70" i="4"/>
  <c r="W69" i="4"/>
  <c r="J69" i="4"/>
  <c r="N66" i="4"/>
  <c r="N53" i="4"/>
  <c r="N36" i="4"/>
  <c r="N33" i="4"/>
  <c r="N22" i="4"/>
  <c r="Q76" i="4"/>
  <c r="N59" i="4"/>
  <c r="V77" i="4"/>
  <c r="H77" i="4"/>
  <c r="S76" i="4"/>
  <c r="P75" i="4"/>
  <c r="V73" i="4"/>
  <c r="H73" i="4"/>
  <c r="S72" i="4"/>
  <c r="P71" i="4"/>
  <c r="V69" i="4"/>
  <c r="H69" i="4"/>
  <c r="N54" i="4"/>
  <c r="N34" i="4"/>
  <c r="N31" i="4"/>
  <c r="N28" i="4"/>
  <c r="T77" i="4"/>
  <c r="U77" i="4"/>
  <c r="G77" i="4"/>
  <c r="R76" i="4"/>
  <c r="X74" i="4"/>
  <c r="U73" i="4"/>
  <c r="G73" i="4"/>
  <c r="R72" i="4"/>
  <c r="X70" i="4"/>
  <c r="U69" i="4"/>
  <c r="G69" i="4"/>
  <c r="N47" i="4"/>
  <c r="N46" i="4"/>
  <c r="N25" i="4"/>
  <c r="W70" i="4"/>
  <c r="N55" i="4"/>
  <c r="S77" i="4"/>
  <c r="P76" i="4"/>
  <c r="V74" i="4"/>
  <c r="H74" i="4"/>
  <c r="S73" i="4"/>
  <c r="P72" i="4"/>
  <c r="V70" i="4"/>
  <c r="H70" i="4"/>
  <c r="S69" i="4"/>
  <c r="N67" i="4"/>
  <c r="N44" i="4"/>
  <c r="N43" i="4"/>
  <c r="N23" i="4"/>
  <c r="R77" i="4"/>
  <c r="X75" i="4"/>
  <c r="U74" i="4"/>
  <c r="G74" i="4"/>
  <c r="R73" i="4"/>
  <c r="X71" i="4"/>
  <c r="U70" i="4"/>
  <c r="G70" i="4"/>
  <c r="R69" i="4"/>
  <c r="N37" i="4"/>
  <c r="N16" i="4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U41" i="4" l="1"/>
  <c r="F41" i="4"/>
  <c r="H41" i="4" s="1"/>
  <c r="E56" i="7"/>
  <c r="E57" i="7"/>
  <c r="E56" i="8"/>
  <c r="E57" i="8"/>
  <c r="U52" i="4"/>
  <c r="F52" i="4"/>
  <c r="H52" i="4" s="1"/>
  <c r="F16" i="4"/>
  <c r="F57" i="4"/>
  <c r="H57" i="4" s="1"/>
  <c r="E55" i="8"/>
  <c r="E55" i="7"/>
  <c r="E39" i="7"/>
  <c r="E43" i="8"/>
  <c r="E51" i="8"/>
  <c r="E39" i="8"/>
  <c r="E40" i="7"/>
  <c r="E50" i="8"/>
  <c r="E36" i="8"/>
  <c r="E48" i="7"/>
  <c r="E41" i="7"/>
  <c r="E49" i="8"/>
  <c r="E54" i="8"/>
  <c r="E48" i="8"/>
  <c r="E35" i="8"/>
  <c r="E36" i="7"/>
  <c r="E49" i="7"/>
  <c r="E45" i="7"/>
  <c r="E38" i="8"/>
  <c r="E47" i="8"/>
  <c r="E34" i="8"/>
  <c r="E37" i="7"/>
  <c r="E50" i="7"/>
  <c r="E46" i="7"/>
  <c r="E54" i="7"/>
  <c r="E46" i="8"/>
  <c r="E33" i="8"/>
  <c r="E47" i="7"/>
  <c r="E38" i="7"/>
  <c r="E32" i="8"/>
  <c r="E51" i="7"/>
  <c r="E45" i="8"/>
  <c r="E30" i="8"/>
  <c r="E31" i="7"/>
  <c r="E52" i="7"/>
  <c r="E44" i="8"/>
  <c r="E29" i="8"/>
  <c r="E42" i="7"/>
  <c r="E28" i="7"/>
  <c r="E53" i="8"/>
  <c r="E44" i="7"/>
  <c r="E53" i="7"/>
  <c r="E31" i="8"/>
  <c r="E42" i="8"/>
  <c r="E28" i="8"/>
  <c r="E30" i="7"/>
  <c r="E43" i="7"/>
  <c r="E41" i="8"/>
  <c r="E33" i="7"/>
  <c r="E37" i="8"/>
  <c r="E52" i="8"/>
  <c r="E40" i="8"/>
  <c r="E32" i="7"/>
  <c r="E34" i="7"/>
  <c r="E22" i="7"/>
  <c r="E6" i="7"/>
  <c r="E9" i="7"/>
  <c r="E23" i="7"/>
  <c r="E27" i="7"/>
  <c r="E9" i="8"/>
  <c r="E6" i="8"/>
  <c r="E17" i="7"/>
  <c r="E16" i="8"/>
  <c r="E21" i="7"/>
  <c r="E15" i="8"/>
  <c r="E12" i="8"/>
  <c r="E25" i="7"/>
  <c r="E11" i="7"/>
  <c r="E13" i="7"/>
  <c r="E18" i="7"/>
  <c r="E21" i="8"/>
  <c r="E18" i="8"/>
  <c r="E19" i="7"/>
  <c r="E11" i="8"/>
  <c r="E24" i="8"/>
  <c r="E27" i="8"/>
  <c r="E35" i="7"/>
  <c r="E7" i="8"/>
  <c r="E13" i="8"/>
  <c r="E17" i="8"/>
  <c r="E15" i="7"/>
  <c r="E7" i="7"/>
  <c r="E23" i="8"/>
  <c r="E8" i="8"/>
  <c r="E22" i="8"/>
  <c r="E8" i="7"/>
  <c r="E25" i="8"/>
  <c r="E10" i="7"/>
  <c r="E14" i="8"/>
  <c r="E14" i="7"/>
  <c r="E12" i="7"/>
  <c r="E29" i="7"/>
  <c r="E19" i="8"/>
  <c r="E16" i="7"/>
  <c r="E26" i="7"/>
  <c r="E20" i="8"/>
  <c r="E24" i="7"/>
  <c r="E10" i="8"/>
  <c r="E20" i="7"/>
  <c r="E26" i="8"/>
  <c r="F28" i="4"/>
  <c r="H28" i="4" s="1"/>
  <c r="F50" i="4"/>
  <c r="H50" i="4" s="1"/>
  <c r="F17" i="4"/>
  <c r="H17" i="4" s="1"/>
  <c r="F60" i="4"/>
  <c r="H60" i="4" s="1"/>
  <c r="F18" i="4"/>
  <c r="H18" i="4" s="1"/>
  <c r="F40" i="4"/>
  <c r="H40" i="4" s="1"/>
  <c r="F55" i="4"/>
  <c r="H55" i="4" s="1"/>
  <c r="F64" i="4"/>
  <c r="H64" i="4" s="1"/>
  <c r="F67" i="4"/>
  <c r="H67" i="4" s="1"/>
  <c r="F51" i="4"/>
  <c r="H51" i="4" s="1"/>
  <c r="F30" i="4"/>
  <c r="H30" i="4" s="1"/>
  <c r="F42" i="4"/>
  <c r="H42" i="4" s="1"/>
  <c r="F21" i="4"/>
  <c r="H21" i="4" s="1"/>
  <c r="F23" i="4"/>
  <c r="H23" i="4" s="1"/>
  <c r="F26" i="4"/>
  <c r="H26" i="4" s="1"/>
  <c r="F54" i="4"/>
  <c r="H54" i="4" s="1"/>
  <c r="F43" i="4"/>
  <c r="H43" i="4" s="1"/>
  <c r="F20" i="4"/>
  <c r="H20" i="4" s="1"/>
  <c r="F33" i="4"/>
  <c r="H33" i="4" s="1"/>
  <c r="F35" i="4"/>
  <c r="H35" i="4" s="1"/>
  <c r="F56" i="4"/>
  <c r="H56" i="4" s="1"/>
  <c r="F32" i="4"/>
  <c r="H32" i="4" s="1"/>
  <c r="F46" i="4"/>
  <c r="H46" i="4" s="1"/>
  <c r="F48" i="4"/>
  <c r="H48" i="4" s="1"/>
  <c r="F27" i="4"/>
  <c r="H27" i="4" s="1"/>
  <c r="F38" i="4"/>
  <c r="H38" i="4" s="1"/>
  <c r="F68" i="4"/>
  <c r="H68" i="4" s="1"/>
  <c r="F45" i="4"/>
  <c r="H45" i="4" s="1"/>
  <c r="F59" i="4"/>
  <c r="H59" i="4" s="1"/>
  <c r="F61" i="4"/>
  <c r="H61" i="4" s="1"/>
  <c r="F39" i="4"/>
  <c r="H39" i="4" s="1"/>
  <c r="F47" i="4"/>
  <c r="H47" i="4" s="1"/>
  <c r="F29" i="4"/>
  <c r="H29" i="4" s="1"/>
  <c r="F58" i="4"/>
  <c r="H58" i="4" s="1"/>
  <c r="F53" i="4"/>
  <c r="H53" i="4" s="1"/>
  <c r="F34" i="4"/>
  <c r="H34" i="4" s="1"/>
  <c r="F66" i="4"/>
  <c r="H66" i="4" s="1"/>
  <c r="F19" i="4"/>
  <c r="H19" i="4" s="1"/>
  <c r="F62" i="4"/>
  <c r="H62" i="4" s="1"/>
  <c r="F65" i="4"/>
  <c r="H65" i="4" s="1"/>
  <c r="F36" i="4"/>
  <c r="H36" i="4" s="1"/>
  <c r="F31" i="4"/>
  <c r="H31" i="4" s="1"/>
  <c r="F49" i="4"/>
  <c r="H49" i="4" s="1"/>
  <c r="F25" i="4"/>
  <c r="H25" i="4" s="1"/>
  <c r="F63" i="4"/>
  <c r="H63" i="4" s="1"/>
  <c r="F44" i="4"/>
  <c r="H44" i="4" s="1"/>
  <c r="F37" i="4"/>
  <c r="H37" i="4" s="1"/>
  <c r="F22" i="4"/>
  <c r="H22" i="4" s="1"/>
  <c r="F24" i="4"/>
  <c r="H24" i="4" s="1"/>
  <c r="U39" i="4"/>
  <c r="U68" i="4"/>
  <c r="U51" i="4"/>
  <c r="U45" i="4"/>
  <c r="U55" i="4"/>
  <c r="U58" i="4"/>
  <c r="U44" i="4"/>
  <c r="U29" i="4"/>
  <c r="U47" i="4"/>
  <c r="U35" i="4"/>
  <c r="U25" i="4"/>
  <c r="U34" i="4"/>
  <c r="U67" i="4"/>
  <c r="U36" i="4"/>
  <c r="U66" i="4"/>
  <c r="U65" i="4"/>
  <c r="U53" i="4"/>
  <c r="U31" i="4"/>
  <c r="U49" i="4"/>
  <c r="U57" i="4"/>
  <c r="U43" i="4"/>
  <c r="U19" i="4"/>
  <c r="U54" i="4"/>
  <c r="U38" i="4"/>
  <c r="U62" i="4"/>
  <c r="U26" i="4"/>
  <c r="U64" i="4"/>
  <c r="U48" i="4"/>
  <c r="U21" i="4"/>
  <c r="U50" i="4"/>
  <c r="U32" i="4"/>
  <c r="U42" i="4"/>
  <c r="U17" i="4"/>
  <c r="U59" i="4"/>
  <c r="U63" i="4"/>
  <c r="U40" i="4"/>
  <c r="U27" i="4"/>
  <c r="U24" i="4"/>
  <c r="U56" i="4"/>
  <c r="U37" i="4"/>
  <c r="U46" i="4"/>
  <c r="U18" i="4"/>
  <c r="U22" i="4"/>
  <c r="U23" i="4"/>
  <c r="U60" i="4"/>
  <c r="U16" i="4"/>
  <c r="U30" i="4"/>
  <c r="U20" i="4"/>
  <c r="U28" i="4"/>
  <c r="U33" i="4"/>
  <c r="U61" i="4"/>
  <c r="J61" i="1"/>
  <c r="K61" i="1"/>
  <c r="J62" i="1"/>
  <c r="K62" i="1"/>
  <c r="J63" i="1"/>
  <c r="K63" i="1"/>
  <c r="J64" i="1"/>
  <c r="K64" i="1"/>
  <c r="J65" i="1"/>
  <c r="K65" i="1"/>
  <c r="J66" i="1"/>
  <c r="K66" i="1"/>
  <c r="J67" i="1"/>
  <c r="K67" i="1"/>
  <c r="J68" i="1"/>
  <c r="K68" i="1"/>
  <c r="J69" i="1"/>
  <c r="K69" i="1"/>
  <c r="J70" i="1"/>
  <c r="K70" i="1"/>
  <c r="B61" i="1"/>
  <c r="A61" i="1" s="1"/>
  <c r="B62" i="1"/>
  <c r="A62" i="1" s="1"/>
  <c r="B63" i="1"/>
  <c r="A63" i="1" s="1"/>
  <c r="B64" i="1"/>
  <c r="A64" i="1" s="1"/>
  <c r="B65" i="1"/>
  <c r="A65" i="1" s="1"/>
  <c r="B66" i="1"/>
  <c r="A66" i="1" s="1"/>
  <c r="B67" i="1"/>
  <c r="A67" i="1" s="1"/>
  <c r="B68" i="1"/>
  <c r="A68" i="1" s="1"/>
  <c r="B69" i="1"/>
  <c r="A69" i="1" s="1"/>
  <c r="B70" i="1"/>
  <c r="K60" i="1"/>
  <c r="J60" i="1"/>
  <c r="B60" i="1"/>
  <c r="A60" i="1" s="1"/>
  <c r="K59" i="1"/>
  <c r="J59" i="1"/>
  <c r="B59" i="1"/>
  <c r="A59" i="1" s="1"/>
  <c r="K58" i="1"/>
  <c r="J58" i="1"/>
  <c r="B58" i="1"/>
  <c r="A58" i="1" s="1"/>
  <c r="K57" i="1"/>
  <c r="J57" i="1"/>
  <c r="B57" i="1"/>
  <c r="A57" i="1" s="1"/>
  <c r="K56" i="1"/>
  <c r="J56" i="1"/>
  <c r="B56" i="1"/>
  <c r="A56" i="1" s="1"/>
  <c r="K55" i="1"/>
  <c r="J55" i="1"/>
  <c r="B55" i="1"/>
  <c r="A55" i="1" s="1"/>
  <c r="K54" i="1"/>
  <c r="J54" i="1"/>
  <c r="B54" i="1"/>
  <c r="A54" i="1" s="1"/>
  <c r="K53" i="1"/>
  <c r="J53" i="1"/>
  <c r="B53" i="1"/>
  <c r="A53" i="1" s="1"/>
  <c r="K52" i="1"/>
  <c r="J52" i="1"/>
  <c r="B52" i="1"/>
  <c r="A52" i="1" s="1"/>
  <c r="K51" i="1"/>
  <c r="J51" i="1"/>
  <c r="B51" i="1"/>
  <c r="A51" i="1" s="1"/>
  <c r="K50" i="1"/>
  <c r="J50" i="1"/>
  <c r="B50" i="1"/>
  <c r="A50" i="1" s="1"/>
  <c r="K49" i="1"/>
  <c r="J49" i="1"/>
  <c r="B49" i="1"/>
  <c r="A49" i="1" s="1"/>
  <c r="K48" i="1"/>
  <c r="J48" i="1"/>
  <c r="B48" i="1"/>
  <c r="A48" i="1" s="1"/>
  <c r="K47" i="1"/>
  <c r="J47" i="1"/>
  <c r="B47" i="1"/>
  <c r="A47" i="1" s="1"/>
  <c r="K46" i="1"/>
  <c r="J46" i="1"/>
  <c r="B46" i="1"/>
  <c r="A46" i="1" s="1"/>
  <c r="K45" i="1"/>
  <c r="J45" i="1"/>
  <c r="B45" i="1"/>
  <c r="A45" i="1" s="1"/>
  <c r="K44" i="1"/>
  <c r="J44" i="1"/>
  <c r="B44" i="1"/>
  <c r="A44" i="1" s="1"/>
  <c r="K43" i="1"/>
  <c r="J43" i="1"/>
  <c r="B43" i="1"/>
  <c r="A43" i="1" s="1"/>
  <c r="K42" i="1"/>
  <c r="J42" i="1"/>
  <c r="B42" i="1"/>
  <c r="A42" i="1" s="1"/>
  <c r="K41" i="1"/>
  <c r="J41" i="1"/>
  <c r="B41" i="1"/>
  <c r="A41" i="1" s="1"/>
  <c r="K40" i="1"/>
  <c r="J40" i="1"/>
  <c r="B40" i="1"/>
  <c r="A40" i="1" s="1"/>
  <c r="K39" i="1"/>
  <c r="J39" i="1"/>
  <c r="B39" i="1"/>
  <c r="A39" i="1" s="1"/>
  <c r="K38" i="1"/>
  <c r="J38" i="1"/>
  <c r="B38" i="1"/>
  <c r="A38" i="1" s="1"/>
  <c r="K37" i="1"/>
  <c r="J37" i="1"/>
  <c r="B37" i="1"/>
  <c r="A37" i="1" s="1"/>
  <c r="K36" i="1"/>
  <c r="J36" i="1"/>
  <c r="B36" i="1"/>
  <c r="A36" i="1" s="1"/>
  <c r="K35" i="1"/>
  <c r="J35" i="1"/>
  <c r="B35" i="1"/>
  <c r="A35" i="1" s="1"/>
  <c r="K34" i="1"/>
  <c r="J34" i="1"/>
  <c r="B34" i="1"/>
  <c r="A34" i="1" s="1"/>
  <c r="K33" i="1"/>
  <c r="J33" i="1"/>
  <c r="B33" i="1"/>
  <c r="A33" i="1" s="1"/>
  <c r="K32" i="1"/>
  <c r="J32" i="1"/>
  <c r="B32" i="1"/>
  <c r="A32" i="1" s="1"/>
  <c r="K31" i="1"/>
  <c r="J31" i="1"/>
  <c r="B31" i="1"/>
  <c r="A31" i="1" s="1"/>
  <c r="K30" i="1"/>
  <c r="J30" i="1"/>
  <c r="B30" i="1"/>
  <c r="A30" i="1" s="1"/>
  <c r="K29" i="1"/>
  <c r="J29" i="1"/>
  <c r="B29" i="1"/>
  <c r="A29" i="1" s="1"/>
  <c r="K28" i="1"/>
  <c r="J28" i="1"/>
  <c r="B28" i="1"/>
  <c r="A28" i="1" s="1"/>
  <c r="K27" i="1"/>
  <c r="J27" i="1"/>
  <c r="B27" i="1"/>
  <c r="A27" i="1" s="1"/>
  <c r="K26" i="1"/>
  <c r="J26" i="1"/>
  <c r="B26" i="1"/>
  <c r="A26" i="1" s="1"/>
  <c r="K25" i="1"/>
  <c r="J25" i="1"/>
  <c r="B25" i="1"/>
  <c r="A25" i="1" s="1"/>
  <c r="K24" i="1"/>
  <c r="J24" i="1"/>
  <c r="B24" i="1"/>
  <c r="A24" i="1" s="1"/>
  <c r="K23" i="1"/>
  <c r="J23" i="1"/>
  <c r="B23" i="1"/>
  <c r="A23" i="1" s="1"/>
  <c r="K22" i="1"/>
  <c r="J22" i="1"/>
  <c r="B22" i="1"/>
  <c r="A22" i="1" s="1"/>
  <c r="K21" i="1"/>
  <c r="J21" i="1"/>
  <c r="B21" i="1"/>
  <c r="A21" i="1" s="1"/>
  <c r="K20" i="1"/>
  <c r="J20" i="1"/>
  <c r="B20" i="1"/>
  <c r="A20" i="1" s="1"/>
  <c r="K19" i="1"/>
  <c r="J19" i="1"/>
  <c r="B19" i="1"/>
  <c r="A19" i="1" s="1"/>
  <c r="K18" i="1"/>
  <c r="J18" i="1"/>
  <c r="B18" i="1"/>
  <c r="A18" i="1" s="1"/>
  <c r="K17" i="1"/>
  <c r="J17" i="1"/>
  <c r="B17" i="1"/>
  <c r="A17" i="1" s="1"/>
  <c r="K16" i="1"/>
  <c r="J16" i="1"/>
  <c r="B16" i="1"/>
  <c r="A16" i="1" s="1"/>
  <c r="K15" i="1"/>
  <c r="J15" i="1"/>
  <c r="B15" i="1"/>
  <c r="A15" i="1" s="1"/>
  <c r="K14" i="1"/>
  <c r="J14" i="1"/>
  <c r="B14" i="1"/>
  <c r="A14" i="1" s="1"/>
  <c r="K13" i="1"/>
  <c r="J13" i="1"/>
  <c r="B13" i="1"/>
  <c r="A13" i="1" s="1"/>
  <c r="K12" i="1"/>
  <c r="J12" i="1"/>
  <c r="B12" i="1"/>
  <c r="A12" i="1" s="1"/>
  <c r="K11" i="1"/>
  <c r="J11" i="1"/>
  <c r="B11" i="1"/>
  <c r="A11" i="1" s="1"/>
  <c r="K10" i="1"/>
  <c r="J10" i="1"/>
  <c r="B10" i="1"/>
  <c r="A10" i="1" s="1"/>
  <c r="K9" i="1"/>
  <c r="J9" i="1"/>
  <c r="B9" i="1"/>
  <c r="A9" i="1" s="1"/>
  <c r="K8" i="1"/>
  <c r="J8" i="1"/>
  <c r="B8" i="1"/>
  <c r="A8" i="1" s="1"/>
  <c r="K7" i="1"/>
  <c r="J7" i="1"/>
  <c r="B7" i="1"/>
  <c r="A7" i="1" s="1"/>
  <c r="K6" i="1"/>
  <c r="J6" i="1"/>
  <c r="B6" i="1"/>
  <c r="A6" i="1" s="1"/>
  <c r="K5" i="1"/>
  <c r="J5" i="1"/>
  <c r="B5" i="1"/>
  <c r="A5" i="1" s="1"/>
  <c r="K4" i="1"/>
  <c r="J4" i="1"/>
  <c r="B4" i="1"/>
  <c r="A4" i="1" s="1"/>
  <c r="K3" i="1"/>
  <c r="J3" i="1"/>
  <c r="B3" i="1"/>
  <c r="A3" i="1" s="1"/>
  <c r="E1" i="1"/>
  <c r="F1" i="1" s="1"/>
  <c r="G1" i="1" s="1"/>
  <c r="H1" i="1" s="1"/>
  <c r="I1" i="1" s="1"/>
  <c r="J1" i="1" s="1"/>
  <c r="K1" i="1" s="1"/>
  <c r="D1" i="1"/>
  <c r="C1" i="1"/>
  <c r="B1" i="1"/>
  <c r="E57" i="3" l="1"/>
  <c r="F57" i="3"/>
  <c r="G57" i="3"/>
  <c r="H16" i="4"/>
  <c r="H78" i="4" s="1"/>
  <c r="F78" i="4"/>
  <c r="F56" i="3"/>
  <c r="F57" i="7" s="1"/>
  <c r="E56" i="3"/>
  <c r="F55" i="3"/>
  <c r="G55" i="3"/>
  <c r="A70" i="1"/>
  <c r="E40" i="3" s="1"/>
  <c r="G48" i="3"/>
  <c r="E25" i="3"/>
  <c r="F21" i="3"/>
  <c r="E15" i="3"/>
  <c r="F11" i="3"/>
  <c r="G25" i="3"/>
  <c r="F15" i="3"/>
  <c r="E46" i="3"/>
  <c r="E12" i="3"/>
  <c r="E38" i="3"/>
  <c r="E24" i="3"/>
  <c r="G22" i="3"/>
  <c r="G26" i="3"/>
  <c r="G30" i="3"/>
  <c r="E37" i="3"/>
  <c r="F33" i="3"/>
  <c r="E30" i="3"/>
  <c r="E27" i="3"/>
  <c r="E16" i="3"/>
  <c r="F8" i="3"/>
  <c r="G16" i="3"/>
  <c r="F30" i="3"/>
  <c r="F37" i="3"/>
  <c r="E34" i="3"/>
  <c r="F10" i="3"/>
  <c r="F16" i="3"/>
  <c r="F31" i="3"/>
  <c r="G10" i="3"/>
  <c r="F42" i="3"/>
  <c r="G8" i="3"/>
  <c r="F26" i="3"/>
  <c r="E50" i="3"/>
  <c r="F46" i="3"/>
  <c r="E43" i="3"/>
  <c r="F35" i="3"/>
  <c r="E28" i="3"/>
  <c r="F20" i="3"/>
  <c r="G46" i="3"/>
  <c r="F18" i="3"/>
  <c r="G39" i="3"/>
  <c r="G51" i="3"/>
  <c r="G49" i="3"/>
  <c r="E5" i="3"/>
  <c r="F50" i="3"/>
  <c r="E47" i="3"/>
  <c r="E32" i="3"/>
  <c r="E10" i="3"/>
  <c r="F52" i="3"/>
  <c r="G15" i="3"/>
  <c r="E21" i="3"/>
  <c r="F41" i="3"/>
  <c r="F45" i="3"/>
  <c r="F25" i="3"/>
  <c r="G36" i="3"/>
  <c r="G41" i="3"/>
  <c r="G33" i="3"/>
  <c r="G53" i="3"/>
  <c r="G44" i="3"/>
  <c r="F47" i="3"/>
  <c r="E9" i="3"/>
  <c r="F5" i="3"/>
  <c r="E48" i="3"/>
  <c r="F28" i="3"/>
  <c r="G19" i="3"/>
  <c r="G18" i="3"/>
  <c r="E17" i="3"/>
  <c r="G13" i="3"/>
  <c r="F38" i="3"/>
  <c r="E14" i="3"/>
  <c r="E53" i="3"/>
  <c r="G34" i="3"/>
  <c r="G38" i="3"/>
  <c r="E33" i="3"/>
  <c r="G14" i="3"/>
  <c r="G27" i="3"/>
  <c r="G32" i="3"/>
  <c r="G43" i="3"/>
  <c r="G23" i="3"/>
  <c r="G24" i="3"/>
  <c r="E6" i="3"/>
  <c r="E52" i="3"/>
  <c r="F48" i="3"/>
  <c r="F32" i="3"/>
  <c r="G45" i="3"/>
  <c r="F13" i="3"/>
  <c r="E7" i="3"/>
  <c r="F36" i="3"/>
  <c r="G6" i="3"/>
  <c r="E11" i="3"/>
  <c r="E49" i="3"/>
  <c r="G9" i="3"/>
  <c r="E22" i="3"/>
  <c r="F49" i="3"/>
  <c r="G11" i="3"/>
  <c r="F29" i="3"/>
  <c r="F53" i="3"/>
  <c r="I41" i="4" l="1"/>
  <c r="J41" i="4" s="1"/>
  <c r="F56" i="7"/>
  <c r="C56" i="7" s="1"/>
  <c r="D56" i="7" s="1"/>
  <c r="G35" i="3"/>
  <c r="F36" i="8" s="1"/>
  <c r="G21" i="3"/>
  <c r="F22" i="8" s="1"/>
  <c r="E35" i="3"/>
  <c r="E45" i="3"/>
  <c r="G42" i="3"/>
  <c r="K54" i="4" s="1"/>
  <c r="T54" i="4" s="1"/>
  <c r="F7" i="3"/>
  <c r="I18" i="4" s="1"/>
  <c r="J18" i="4" s="1"/>
  <c r="F43" i="3"/>
  <c r="F43" i="7" s="1"/>
  <c r="E39" i="3"/>
  <c r="G12" i="3"/>
  <c r="K23" i="4" s="1"/>
  <c r="P23" i="4" s="1"/>
  <c r="F23" i="3"/>
  <c r="F24" i="7" s="1"/>
  <c r="G28" i="3"/>
  <c r="K39" i="4" s="1"/>
  <c r="E18" i="3"/>
  <c r="E55" i="3"/>
  <c r="E20" i="3"/>
  <c r="G56" i="3"/>
  <c r="F57" i="8" s="1"/>
  <c r="C57" i="8" s="1"/>
  <c r="D57" i="8" s="1"/>
  <c r="F34" i="3"/>
  <c r="F35" i="7" s="1"/>
  <c r="F9" i="3"/>
  <c r="F10" i="7" s="1"/>
  <c r="E19" i="3"/>
  <c r="E36" i="3"/>
  <c r="F27" i="3"/>
  <c r="I38" i="4" s="1"/>
  <c r="J38" i="4" s="1"/>
  <c r="F51" i="3"/>
  <c r="F52" i="7" s="1"/>
  <c r="E31" i="3"/>
  <c r="G50" i="3"/>
  <c r="F51" i="8" s="1"/>
  <c r="E42" i="3"/>
  <c r="G5" i="3"/>
  <c r="F6" i="8" s="1"/>
  <c r="E26" i="3"/>
  <c r="G7" i="3"/>
  <c r="K18" i="4" s="1"/>
  <c r="T18" i="4" s="1"/>
  <c r="G52" i="3"/>
  <c r="F53" i="8" s="1"/>
  <c r="F17" i="3"/>
  <c r="I28" i="4" s="1"/>
  <c r="J28" i="4" s="1"/>
  <c r="F12" i="3"/>
  <c r="F13" i="7" s="1"/>
  <c r="G31" i="3"/>
  <c r="F32" i="8" s="1"/>
  <c r="E13" i="3"/>
  <c r="G17" i="3"/>
  <c r="F18" i="8" s="1"/>
  <c r="F44" i="3"/>
  <c r="F45" i="7" s="1"/>
  <c r="E23" i="3"/>
  <c r="F24" i="3"/>
  <c r="F25" i="7" s="1"/>
  <c r="F19" i="3"/>
  <c r="F20" i="7" s="1"/>
  <c r="F6" i="3"/>
  <c r="F7" i="7" s="1"/>
  <c r="F22" i="3"/>
  <c r="F23" i="7" s="1"/>
  <c r="F14" i="3"/>
  <c r="F15" i="7" s="1"/>
  <c r="G29" i="3"/>
  <c r="G47" i="3"/>
  <c r="F48" i="8" s="1"/>
  <c r="F54" i="3"/>
  <c r="I66" i="4" s="1"/>
  <c r="J66" i="4" s="1"/>
  <c r="E41" i="3"/>
  <c r="E51" i="3"/>
  <c r="E8" i="3"/>
  <c r="E44" i="3"/>
  <c r="F39" i="3"/>
  <c r="I50" i="4" s="1"/>
  <c r="J50" i="4" s="1"/>
  <c r="G20" i="3"/>
  <c r="K31" i="4" s="1"/>
  <c r="S31" i="4" s="1"/>
  <c r="G37" i="3"/>
  <c r="F38" i="8" s="1"/>
  <c r="C38" i="8" s="1"/>
  <c r="D38" i="8" s="1"/>
  <c r="E29" i="3"/>
  <c r="G54" i="3"/>
  <c r="D28" i="9" s="1"/>
  <c r="C28" i="9" s="1"/>
  <c r="G40" i="3"/>
  <c r="K52" i="4" s="1"/>
  <c r="Q52" i="4" s="1"/>
  <c r="E54" i="3"/>
  <c r="F40" i="3"/>
  <c r="I52" i="4" s="1"/>
  <c r="J52" i="4" s="1"/>
  <c r="F9" i="7"/>
  <c r="F22" i="7"/>
  <c r="F12" i="7"/>
  <c r="C57" i="7"/>
  <c r="D57" i="7" s="1"/>
  <c r="F16" i="7"/>
  <c r="F26" i="7"/>
  <c r="F6" i="7"/>
  <c r="F14" i="7"/>
  <c r="F29" i="7"/>
  <c r="K36" i="4"/>
  <c r="S36" i="4" s="1"/>
  <c r="F25" i="8"/>
  <c r="K38" i="4"/>
  <c r="T38" i="4" s="1"/>
  <c r="F27" i="8"/>
  <c r="D9" i="9"/>
  <c r="C9" i="9" s="1"/>
  <c r="I57" i="4"/>
  <c r="J57" i="4" s="1"/>
  <c r="D6" i="9"/>
  <c r="C6" i="9" s="1"/>
  <c r="F10" i="8"/>
  <c r="I59" i="4"/>
  <c r="J59" i="4" s="1"/>
  <c r="F46" i="7"/>
  <c r="I53" i="4"/>
  <c r="J53" i="4" s="1"/>
  <c r="I47" i="4"/>
  <c r="J47" i="4" s="1"/>
  <c r="I43" i="4"/>
  <c r="J43" i="4" s="1"/>
  <c r="F31" i="7"/>
  <c r="I19" i="4"/>
  <c r="J19" i="4" s="1"/>
  <c r="I22" i="4"/>
  <c r="J22" i="4" s="1"/>
  <c r="F11" i="7"/>
  <c r="I60" i="4"/>
  <c r="J60" i="4" s="1"/>
  <c r="F47" i="7"/>
  <c r="K25" i="4"/>
  <c r="T25" i="4" s="1"/>
  <c r="F14" i="8"/>
  <c r="F42" i="7"/>
  <c r="F12" i="8"/>
  <c r="F28" i="8"/>
  <c r="F38" i="7"/>
  <c r="C38" i="7" s="1"/>
  <c r="D38" i="7" s="1"/>
  <c r="I31" i="4"/>
  <c r="J31" i="4" s="1"/>
  <c r="K24" i="4"/>
  <c r="T24" i="4" s="1"/>
  <c r="F49" i="7"/>
  <c r="K33" i="4"/>
  <c r="T33" i="4" s="1"/>
  <c r="K56" i="4"/>
  <c r="Q56" i="4" s="1"/>
  <c r="D18" i="9"/>
  <c r="C18" i="9" s="1"/>
  <c r="I32" i="4"/>
  <c r="J32" i="4" s="1"/>
  <c r="F21" i="7"/>
  <c r="F54" i="8"/>
  <c r="D29" i="9"/>
  <c r="C29" i="9" s="1"/>
  <c r="K44" i="4"/>
  <c r="T44" i="4" s="1"/>
  <c r="D11" i="9"/>
  <c r="C11" i="9" s="1"/>
  <c r="K27" i="4"/>
  <c r="P27" i="4" s="1"/>
  <c r="F16" i="8"/>
  <c r="I44" i="4"/>
  <c r="J44" i="4" s="1"/>
  <c r="F32" i="7"/>
  <c r="F17" i="7"/>
  <c r="K29" i="4"/>
  <c r="S29" i="4" s="1"/>
  <c r="F52" i="8"/>
  <c r="D27" i="9"/>
  <c r="C27" i="9" s="1"/>
  <c r="K26" i="4"/>
  <c r="R26" i="4" s="1"/>
  <c r="F15" i="8"/>
  <c r="D7" i="9"/>
  <c r="C7" i="9" s="1"/>
  <c r="K63" i="4"/>
  <c r="T63" i="4" s="1"/>
  <c r="D25" i="9"/>
  <c r="C25" i="9" s="1"/>
  <c r="I58" i="4"/>
  <c r="J58" i="4" s="1"/>
  <c r="I21" i="4"/>
  <c r="J21" i="4" s="1"/>
  <c r="D19" i="9"/>
  <c r="C19" i="9" s="1"/>
  <c r="F44" i="8"/>
  <c r="K37" i="4"/>
  <c r="R37" i="4" s="1"/>
  <c r="F26" i="8"/>
  <c r="K20" i="4"/>
  <c r="T20" i="4" s="1"/>
  <c r="F9" i="8"/>
  <c r="K30" i="4"/>
  <c r="T30" i="4" s="1"/>
  <c r="F19" i="8"/>
  <c r="K45" i="4"/>
  <c r="T45" i="4" s="1"/>
  <c r="F33" i="8"/>
  <c r="I64" i="4"/>
  <c r="J64" i="4" s="1"/>
  <c r="F39" i="8"/>
  <c r="F33" i="7"/>
  <c r="K60" i="4"/>
  <c r="S60" i="4" s="1"/>
  <c r="D22" i="9"/>
  <c r="C22" i="9" s="1"/>
  <c r="I67" i="4"/>
  <c r="J67" i="4" s="1"/>
  <c r="K55" i="4"/>
  <c r="Q55" i="4" s="1"/>
  <c r="D17" i="9"/>
  <c r="C17" i="9" s="1"/>
  <c r="F35" i="8"/>
  <c r="K17" i="4"/>
  <c r="R17" i="4" s="1"/>
  <c r="I49" i="4"/>
  <c r="J49" i="4" s="1"/>
  <c r="F37" i="7"/>
  <c r="F21" i="8"/>
  <c r="D8" i="9"/>
  <c r="C8" i="9" s="1"/>
  <c r="I48" i="4"/>
  <c r="J48" i="4" s="1"/>
  <c r="F36" i="7"/>
  <c r="I68" i="4"/>
  <c r="J68" i="4" s="1"/>
  <c r="F17" i="8"/>
  <c r="F27" i="7"/>
  <c r="F49" i="8"/>
  <c r="F7" i="8"/>
  <c r="K35" i="4"/>
  <c r="Q35" i="4" s="1"/>
  <c r="F24" i="8"/>
  <c r="K46" i="4"/>
  <c r="T46" i="4" s="1"/>
  <c r="F34" i="8"/>
  <c r="F19" i="7"/>
  <c r="F50" i="7"/>
  <c r="K22" i="4"/>
  <c r="T22" i="4" s="1"/>
  <c r="F11" i="8"/>
  <c r="I61" i="4"/>
  <c r="J61" i="4" s="1"/>
  <c r="F48" i="7"/>
  <c r="I24" i="4"/>
  <c r="J24" i="4" s="1"/>
  <c r="K34" i="4"/>
  <c r="S34" i="4" s="1"/>
  <c r="F23" i="8"/>
  <c r="K48" i="4"/>
  <c r="R48" i="4" s="1"/>
  <c r="F45" i="8"/>
  <c r="D20" i="9"/>
  <c r="C20" i="9" s="1"/>
  <c r="K19" i="4"/>
  <c r="P19" i="4" s="1"/>
  <c r="F8" i="8"/>
  <c r="I42" i="4"/>
  <c r="J42" i="4" s="1"/>
  <c r="F30" i="7"/>
  <c r="F46" i="8"/>
  <c r="F20" i="8"/>
  <c r="D13" i="9"/>
  <c r="C13" i="9" s="1"/>
  <c r="F37" i="8"/>
  <c r="F53" i="7"/>
  <c r="I39" i="4"/>
  <c r="J39" i="4" s="1"/>
  <c r="I37" i="4"/>
  <c r="J37" i="4" s="1"/>
  <c r="I26" i="4"/>
  <c r="J26" i="4" s="1"/>
  <c r="I40" i="4"/>
  <c r="J40" i="4" s="1"/>
  <c r="I36" i="4"/>
  <c r="J36" i="4" s="1"/>
  <c r="K57" i="4"/>
  <c r="S57" i="4" s="1"/>
  <c r="K21" i="4"/>
  <c r="T21" i="4" s="1"/>
  <c r="K32" i="4"/>
  <c r="T32" i="4" s="1"/>
  <c r="I27" i="4"/>
  <c r="J27" i="4" s="1"/>
  <c r="K67" i="4"/>
  <c r="Q67" i="4" s="1"/>
  <c r="I16" i="4"/>
  <c r="J16" i="4" s="1"/>
  <c r="K65" i="4"/>
  <c r="T65" i="4" s="1"/>
  <c r="I29" i="4"/>
  <c r="J29" i="4" s="1"/>
  <c r="K50" i="4"/>
  <c r="P50" i="4" s="1"/>
  <c r="I65" i="4" l="1"/>
  <c r="J65" i="4" s="1"/>
  <c r="D10" i="9"/>
  <c r="C10" i="9" s="1"/>
  <c r="K42" i="4"/>
  <c r="T42" i="4" s="1"/>
  <c r="I54" i="4"/>
  <c r="J54" i="4" s="1"/>
  <c r="M54" i="4" s="1"/>
  <c r="F31" i="8"/>
  <c r="F54" i="7"/>
  <c r="K58" i="4"/>
  <c r="Q58" i="4" s="1"/>
  <c r="F34" i="7"/>
  <c r="I45" i="4"/>
  <c r="J45" i="4" s="1"/>
  <c r="M45" i="4" s="1"/>
  <c r="F42" i="8"/>
  <c r="C42" i="8" s="1"/>
  <c r="D42" i="8" s="1"/>
  <c r="F47" i="8"/>
  <c r="C47" i="8" s="1"/>
  <c r="D47" i="8" s="1"/>
  <c r="F40" i="8"/>
  <c r="C40" i="8" s="1"/>
  <c r="D40" i="8" s="1"/>
  <c r="D15" i="9"/>
  <c r="C15" i="9" s="1"/>
  <c r="K53" i="4"/>
  <c r="S53" i="4" s="1"/>
  <c r="F40" i="7"/>
  <c r="C40" i="7" s="1"/>
  <c r="D40" i="7" s="1"/>
  <c r="F50" i="8"/>
  <c r="C50" i="8" s="1"/>
  <c r="D50" i="8" s="1"/>
  <c r="D23" i="9"/>
  <c r="C23" i="9" s="1"/>
  <c r="K61" i="4"/>
  <c r="P61" i="4" s="1"/>
  <c r="F39" i="7"/>
  <c r="C39" i="7" s="1"/>
  <c r="D39" i="7" s="1"/>
  <c r="K51" i="4"/>
  <c r="Q51" i="4" s="1"/>
  <c r="F51" i="7"/>
  <c r="C51" i="7" s="1"/>
  <c r="D51" i="7" s="1"/>
  <c r="I62" i="4"/>
  <c r="J62" i="4" s="1"/>
  <c r="D14" i="9"/>
  <c r="C14" i="9" s="1"/>
  <c r="I55" i="4"/>
  <c r="J55" i="4" s="1"/>
  <c r="M55" i="4" s="1"/>
  <c r="F56" i="8"/>
  <c r="C56" i="8" s="1"/>
  <c r="D56" i="8" s="1"/>
  <c r="K40" i="4"/>
  <c r="R40" i="4" s="1"/>
  <c r="K41" i="4"/>
  <c r="K49" i="4"/>
  <c r="T49" i="4" s="1"/>
  <c r="D26" i="9"/>
  <c r="C26" i="9" s="1"/>
  <c r="I33" i="4"/>
  <c r="J33" i="4" s="1"/>
  <c r="M33" i="4" s="1"/>
  <c r="I17" i="4"/>
  <c r="J17" i="4" s="1"/>
  <c r="M17" i="4" s="1"/>
  <c r="K68" i="4"/>
  <c r="R68" i="4" s="1"/>
  <c r="I46" i="4"/>
  <c r="J46" i="4" s="1"/>
  <c r="E134" i="4" s="1"/>
  <c r="D30" i="9"/>
  <c r="C30" i="9" s="1"/>
  <c r="I30" i="4"/>
  <c r="J30" i="4" s="1"/>
  <c r="E130" i="4" s="1"/>
  <c r="K64" i="4"/>
  <c r="R64" i="4" s="1"/>
  <c r="D12" i="9"/>
  <c r="C12" i="9" s="1"/>
  <c r="K16" i="4"/>
  <c r="T16" i="4" s="1"/>
  <c r="K47" i="4"/>
  <c r="S47" i="4" s="1"/>
  <c r="D5" i="9"/>
  <c r="C5" i="9" s="1"/>
  <c r="F43" i="8"/>
  <c r="C43" i="8" s="1"/>
  <c r="D16" i="9"/>
  <c r="C16" i="9" s="1"/>
  <c r="I23" i="4"/>
  <c r="J23" i="4" s="1"/>
  <c r="M23" i="4" s="1"/>
  <c r="E132" i="4"/>
  <c r="F30" i="8"/>
  <c r="C30" i="8" s="1"/>
  <c r="D30" i="8" s="1"/>
  <c r="F18" i="7"/>
  <c r="C18" i="7" s="1"/>
  <c r="D18" i="7" s="1"/>
  <c r="I25" i="4"/>
  <c r="J25" i="4" s="1"/>
  <c r="M25" i="4" s="1"/>
  <c r="F55" i="8"/>
  <c r="C55" i="8" s="1"/>
  <c r="D55" i="8" s="1"/>
  <c r="I20" i="4"/>
  <c r="J20" i="4" s="1"/>
  <c r="K66" i="4"/>
  <c r="P66" i="4" s="1"/>
  <c r="D21" i="9"/>
  <c r="C21" i="9" s="1"/>
  <c r="F8" i="7"/>
  <c r="C8" i="7" s="1"/>
  <c r="D8" i="7" s="1"/>
  <c r="F55" i="7"/>
  <c r="C55" i="7" s="1"/>
  <c r="D55" i="7" s="1"/>
  <c r="K43" i="4"/>
  <c r="T43" i="4" s="1"/>
  <c r="F44" i="7"/>
  <c r="C44" i="7" s="1"/>
  <c r="D44" i="7" s="1"/>
  <c r="F28" i="7"/>
  <c r="C28" i="7" s="1"/>
  <c r="D28" i="7" s="1"/>
  <c r="K59" i="4"/>
  <c r="S59" i="4" s="1"/>
  <c r="F41" i="8"/>
  <c r="C41" i="8" s="1"/>
  <c r="D41" i="8" s="1"/>
  <c r="F41" i="7"/>
  <c r="C41" i="7" s="1"/>
  <c r="D41" i="7" s="1"/>
  <c r="I51" i="4"/>
  <c r="J51" i="4" s="1"/>
  <c r="K28" i="4"/>
  <c r="S28" i="4" s="1"/>
  <c r="I56" i="4"/>
  <c r="J56" i="4" s="1"/>
  <c r="M56" i="4" s="1"/>
  <c r="F29" i="8"/>
  <c r="C29" i="8" s="1"/>
  <c r="D29" i="8" s="1"/>
  <c r="D24" i="9"/>
  <c r="C24" i="9" s="1"/>
  <c r="K62" i="4"/>
  <c r="P62" i="4" s="1"/>
  <c r="I35" i="4"/>
  <c r="J35" i="4" s="1"/>
  <c r="M35" i="4" s="1"/>
  <c r="I34" i="4"/>
  <c r="J34" i="4" s="1"/>
  <c r="M34" i="4" s="1"/>
  <c r="I63" i="4"/>
  <c r="J63" i="4" s="1"/>
  <c r="M63" i="4" s="1"/>
  <c r="F13" i="8"/>
  <c r="C13" i="8" s="1"/>
  <c r="D13" i="8" s="1"/>
  <c r="E133" i="4"/>
  <c r="E136" i="4"/>
  <c r="M37" i="4"/>
  <c r="M27" i="4"/>
  <c r="M36" i="4"/>
  <c r="M38" i="4"/>
  <c r="E135" i="4"/>
  <c r="M29" i="4"/>
  <c r="M52" i="4"/>
  <c r="M24" i="4"/>
  <c r="M26" i="4"/>
  <c r="M60" i="4"/>
  <c r="M67" i="4"/>
  <c r="M21" i="4"/>
  <c r="M32" i="4"/>
  <c r="M65" i="4"/>
  <c r="M22" i="4"/>
  <c r="M39" i="4"/>
  <c r="M48" i="4"/>
  <c r="M44" i="4"/>
  <c r="M19" i="4"/>
  <c r="M57" i="4"/>
  <c r="M31" i="4"/>
  <c r="M18" i="4"/>
  <c r="M50" i="4"/>
  <c r="R52" i="4"/>
  <c r="T52" i="4"/>
  <c r="S52" i="4"/>
  <c r="P52" i="4"/>
  <c r="Q39" i="4"/>
  <c r="T39" i="4"/>
  <c r="P39" i="4"/>
  <c r="S39" i="4"/>
  <c r="R39" i="4"/>
  <c r="P32" i="4"/>
  <c r="R32" i="4"/>
  <c r="P17" i="4"/>
  <c r="X17" i="4" s="1"/>
  <c r="S32" i="4"/>
  <c r="S48" i="4"/>
  <c r="S21" i="4"/>
  <c r="S24" i="4"/>
  <c r="S27" i="4"/>
  <c r="T17" i="4"/>
  <c r="Q32" i="4"/>
  <c r="R31" i="4"/>
  <c r="P21" i="4"/>
  <c r="P29" i="4"/>
  <c r="S18" i="4"/>
  <c r="T48" i="4"/>
  <c r="Q21" i="4"/>
  <c r="R24" i="4"/>
  <c r="Q19" i="4"/>
  <c r="V19" i="4" s="1"/>
  <c r="W19" i="4" s="1"/>
  <c r="S17" i="4"/>
  <c r="R18" i="4"/>
  <c r="R20" i="4"/>
  <c r="Q31" i="4"/>
  <c r="Q17" i="4"/>
  <c r="Q48" i="4"/>
  <c r="T31" i="4"/>
  <c r="P48" i="4"/>
  <c r="X48" i="4" s="1"/>
  <c r="R34" i="4"/>
  <c r="R19" i="4"/>
  <c r="X19" i="4" s="1"/>
  <c r="R46" i="4"/>
  <c r="S20" i="4"/>
  <c r="R21" i="4"/>
  <c r="Q24" i="4"/>
  <c r="P25" i="4"/>
  <c r="P38" i="4"/>
  <c r="Q18" i="4"/>
  <c r="S35" i="4"/>
  <c r="R35" i="4"/>
  <c r="Q29" i="4"/>
  <c r="R29" i="4"/>
  <c r="P31" i="4"/>
  <c r="T35" i="4"/>
  <c r="T19" i="4"/>
  <c r="S19" i="4"/>
  <c r="Q25" i="4"/>
  <c r="T27" i="4"/>
  <c r="S44" i="4"/>
  <c r="P26" i="4"/>
  <c r="X26" i="4" s="1"/>
  <c r="P46" i="4"/>
  <c r="Q46" i="4"/>
  <c r="P44" i="4"/>
  <c r="S46" i="4"/>
  <c r="S25" i="4"/>
  <c r="T26" i="4"/>
  <c r="S45" i="4"/>
  <c r="R30" i="4"/>
  <c r="R27" i="4"/>
  <c r="X27" i="4" s="1"/>
  <c r="P22" i="4"/>
  <c r="R45" i="4"/>
  <c r="S30" i="4"/>
  <c r="T37" i="4"/>
  <c r="Q27" i="4"/>
  <c r="V27" i="4" s="1"/>
  <c r="W27" i="4" s="1"/>
  <c r="Q37" i="4"/>
  <c r="P33" i="4"/>
  <c r="P37" i="4"/>
  <c r="X37" i="4" s="1"/>
  <c r="R38" i="4"/>
  <c r="Q38" i="4"/>
  <c r="P20" i="4"/>
  <c r="S37" i="4"/>
  <c r="Q33" i="4"/>
  <c r="Q20" i="4"/>
  <c r="S33" i="4"/>
  <c r="S22" i="4"/>
  <c r="Q30" i="4"/>
  <c r="R42" i="4"/>
  <c r="S38" i="4"/>
  <c r="R22" i="4"/>
  <c r="T36" i="4"/>
  <c r="Q22" i="4"/>
  <c r="T34" i="4"/>
  <c r="Q36" i="4"/>
  <c r="P36" i="4"/>
  <c r="R36" i="4"/>
  <c r="Q34" i="4"/>
  <c r="R23" i="4"/>
  <c r="X23" i="4" s="1"/>
  <c r="P34" i="4"/>
  <c r="S26" i="4"/>
  <c r="P18" i="4"/>
  <c r="T23" i="4"/>
  <c r="P42" i="4"/>
  <c r="S23" i="4"/>
  <c r="Q23" i="4"/>
  <c r="V23" i="4" s="1"/>
  <c r="W23" i="4" s="1"/>
  <c r="P30" i="4"/>
  <c r="P24" i="4"/>
  <c r="P35" i="4"/>
  <c r="V35" i="4" s="1"/>
  <c r="W35" i="4" s="1"/>
  <c r="P45" i="4"/>
  <c r="R33" i="4"/>
  <c r="R25" i="4"/>
  <c r="T29" i="4"/>
  <c r="Q26" i="4"/>
  <c r="Q44" i="4"/>
  <c r="Q45" i="4"/>
  <c r="R44" i="4"/>
  <c r="C54" i="7"/>
  <c r="D54" i="7" s="1"/>
  <c r="C54" i="8"/>
  <c r="D54" i="8" s="1"/>
  <c r="T67" i="4"/>
  <c r="S67" i="4"/>
  <c r="R65" i="4"/>
  <c r="S65" i="4"/>
  <c r="P65" i="4"/>
  <c r="P67" i="4"/>
  <c r="V67" i="4" s="1"/>
  <c r="W67" i="4" s="1"/>
  <c r="R67" i="4"/>
  <c r="Q65" i="4"/>
  <c r="T60" i="4"/>
  <c r="P60" i="4"/>
  <c r="Q60" i="4"/>
  <c r="R60" i="4"/>
  <c r="R57" i="4"/>
  <c r="T55" i="4"/>
  <c r="R50" i="4"/>
  <c r="X50" i="4" s="1"/>
  <c r="P63" i="4"/>
  <c r="P56" i="4"/>
  <c r="V56" i="4" s="1"/>
  <c r="W56" i="4" s="1"/>
  <c r="R56" i="4"/>
  <c r="S56" i="4"/>
  <c r="P55" i="4"/>
  <c r="V55" i="4" s="1"/>
  <c r="W55" i="4" s="1"/>
  <c r="S55" i="4"/>
  <c r="S63" i="4"/>
  <c r="P57" i="4"/>
  <c r="Q63" i="4"/>
  <c r="R55" i="4"/>
  <c r="R63" i="4"/>
  <c r="T57" i="4"/>
  <c r="Q57" i="4"/>
  <c r="S54" i="4"/>
  <c r="Q54" i="4"/>
  <c r="R54" i="4"/>
  <c r="P54" i="4"/>
  <c r="T56" i="4"/>
  <c r="T58" i="4"/>
  <c r="S50" i="4"/>
  <c r="T50" i="4"/>
  <c r="Q50" i="4"/>
  <c r="V50" i="4" s="1"/>
  <c r="W50" i="4" s="1"/>
  <c r="C26" i="8"/>
  <c r="D26" i="8" s="1"/>
  <c r="C51" i="8"/>
  <c r="D51" i="8" s="1"/>
  <c r="C49" i="8"/>
  <c r="D49" i="8" s="1"/>
  <c r="C12" i="8"/>
  <c r="D12" i="8" s="1"/>
  <c r="C6" i="8"/>
  <c r="D6" i="8" s="1"/>
  <c r="C33" i="8"/>
  <c r="D33" i="8" s="1"/>
  <c r="C46" i="8"/>
  <c r="D46" i="8" s="1"/>
  <c r="C36" i="8"/>
  <c r="D36" i="8" s="1"/>
  <c r="C27" i="8"/>
  <c r="D27" i="8" s="1"/>
  <c r="C16" i="8"/>
  <c r="D16" i="8" s="1"/>
  <c r="C7" i="8"/>
  <c r="D7" i="8" s="1"/>
  <c r="C45" i="8"/>
  <c r="D45" i="8" s="1"/>
  <c r="C25" i="8"/>
  <c r="D25" i="8" s="1"/>
  <c r="C18" i="8"/>
  <c r="D18" i="8" s="1"/>
  <c r="C53" i="8"/>
  <c r="D53" i="8" s="1"/>
  <c r="C21" i="8"/>
  <c r="C52" i="8"/>
  <c r="D52" i="8" s="1"/>
  <c r="C19" i="8"/>
  <c r="D19" i="8" s="1"/>
  <c r="C32" i="8"/>
  <c r="D32" i="8" s="1"/>
  <c r="C37" i="8"/>
  <c r="D37" i="8" s="1"/>
  <c r="C34" i="8"/>
  <c r="D34" i="8" s="1"/>
  <c r="C17" i="8"/>
  <c r="D17" i="8" s="1"/>
  <c r="C23" i="8"/>
  <c r="D23" i="8" s="1"/>
  <c r="C15" i="8"/>
  <c r="D15" i="8" s="1"/>
  <c r="C8" i="8"/>
  <c r="D8" i="8" s="1"/>
  <c r="C14" i="8"/>
  <c r="D14" i="8" s="1"/>
  <c r="C10" i="8"/>
  <c r="D10" i="8" s="1"/>
  <c r="C22" i="8"/>
  <c r="D22" i="8" s="1"/>
  <c r="C39" i="8"/>
  <c r="D39" i="8" s="1"/>
  <c r="C35" i="8"/>
  <c r="D35" i="8" s="1"/>
  <c r="C31" i="8"/>
  <c r="D31" i="8" s="1"/>
  <c r="C9" i="8"/>
  <c r="C48" i="8"/>
  <c r="D48" i="8" s="1"/>
  <c r="C24" i="8"/>
  <c r="D24" i="8" s="1"/>
  <c r="C20" i="8"/>
  <c r="D20" i="8" s="1"/>
  <c r="C44" i="8"/>
  <c r="D44" i="8" s="1"/>
  <c r="C28" i="8"/>
  <c r="D28" i="8" s="1"/>
  <c r="C11" i="8"/>
  <c r="D11" i="8" s="1"/>
  <c r="C33" i="7"/>
  <c r="D33" i="7" s="1"/>
  <c r="C46" i="7"/>
  <c r="D46" i="7" s="1"/>
  <c r="C31" i="7"/>
  <c r="D31" i="7" s="1"/>
  <c r="C34" i="7"/>
  <c r="D34" i="7" s="1"/>
  <c r="C25" i="7"/>
  <c r="D25" i="7" s="1"/>
  <c r="C6" i="7"/>
  <c r="D6" i="7" s="1"/>
  <c r="C14" i="7"/>
  <c r="D14" i="7" s="1"/>
  <c r="C32" i="7"/>
  <c r="D32" i="7" s="1"/>
  <c r="C13" i="7"/>
  <c r="D13" i="7" s="1"/>
  <c r="C7" i="7"/>
  <c r="D7" i="7" s="1"/>
  <c r="C47" i="7"/>
  <c r="D47" i="7" s="1"/>
  <c r="C53" i="7"/>
  <c r="D53" i="7" s="1"/>
  <c r="C30" i="7"/>
  <c r="D30" i="7" s="1"/>
  <c r="C23" i="7"/>
  <c r="D23" i="7" s="1"/>
  <c r="C16" i="7"/>
  <c r="D16" i="7" s="1"/>
  <c r="C19" i="7"/>
  <c r="D19" i="7" s="1"/>
  <c r="C36" i="7"/>
  <c r="D36" i="7" s="1"/>
  <c r="C52" i="7"/>
  <c r="D52" i="7" s="1"/>
  <c r="C15" i="7"/>
  <c r="D15" i="7" s="1"/>
  <c r="C21" i="7"/>
  <c r="D21" i="7" s="1"/>
  <c r="C10" i="7"/>
  <c r="D10" i="7" s="1"/>
  <c r="C37" i="7"/>
  <c r="D37" i="7" s="1"/>
  <c r="C50" i="7"/>
  <c r="D50" i="7" s="1"/>
  <c r="C11" i="7"/>
  <c r="D11" i="7" s="1"/>
  <c r="C9" i="7"/>
  <c r="D9" i="7" s="1"/>
  <c r="C42" i="7"/>
  <c r="D42" i="7" s="1"/>
  <c r="C12" i="7"/>
  <c r="D12" i="7" s="1"/>
  <c r="C45" i="7"/>
  <c r="D45" i="7" s="1"/>
  <c r="C49" i="7"/>
  <c r="D49" i="7" s="1"/>
  <c r="C20" i="7"/>
  <c r="D20" i="7" s="1"/>
  <c r="C22" i="7"/>
  <c r="D22" i="7" s="1"/>
  <c r="C27" i="7"/>
  <c r="D27" i="7" s="1"/>
  <c r="C35" i="7"/>
  <c r="D35" i="7" s="1"/>
  <c r="C24" i="7"/>
  <c r="D24" i="7" s="1"/>
  <c r="C48" i="7"/>
  <c r="D48" i="7" s="1"/>
  <c r="C29" i="7"/>
  <c r="D29" i="7" s="1"/>
  <c r="C26" i="7"/>
  <c r="D26" i="7" s="1"/>
  <c r="C17" i="7"/>
  <c r="D17" i="7" s="1"/>
  <c r="C43" i="7"/>
  <c r="D43" i="7" s="1"/>
  <c r="M42" i="4" l="1"/>
  <c r="Q42" i="4"/>
  <c r="P58" i="4"/>
  <c r="V58" i="4" s="1"/>
  <c r="W58" i="4" s="1"/>
  <c r="S58" i="4"/>
  <c r="R58" i="4"/>
  <c r="M58" i="4"/>
  <c r="S42" i="4"/>
  <c r="Q53" i="4"/>
  <c r="R53" i="4"/>
  <c r="T53" i="4"/>
  <c r="P53" i="4"/>
  <c r="S40" i="4"/>
  <c r="M53" i="4"/>
  <c r="M61" i="4"/>
  <c r="Q61" i="4"/>
  <c r="V61" i="4" s="1"/>
  <c r="W61" i="4" s="1"/>
  <c r="R61" i="4"/>
  <c r="X61" i="4" s="1"/>
  <c r="T61" i="4"/>
  <c r="R51" i="4"/>
  <c r="P51" i="4"/>
  <c r="V51" i="4" s="1"/>
  <c r="W51" i="4" s="1"/>
  <c r="S61" i="4"/>
  <c r="S51" i="4"/>
  <c r="T51" i="4"/>
  <c r="M51" i="4"/>
  <c r="F137" i="4" s="1"/>
  <c r="P49" i="4"/>
  <c r="S49" i="4"/>
  <c r="M49" i="4"/>
  <c r="T40" i="4"/>
  <c r="Q40" i="4"/>
  <c r="M40" i="4"/>
  <c r="Q49" i="4"/>
  <c r="P40" i="4"/>
  <c r="X40" i="4" s="1"/>
  <c r="R49" i="4"/>
  <c r="Q41" i="4"/>
  <c r="R41" i="4"/>
  <c r="S41" i="4"/>
  <c r="P41" i="4"/>
  <c r="T41" i="4"/>
  <c r="M41" i="4"/>
  <c r="P68" i="4"/>
  <c r="X68" i="4" s="1"/>
  <c r="Q68" i="4"/>
  <c r="M46" i="4"/>
  <c r="F134" i="4" s="1"/>
  <c r="G134" i="4" s="1"/>
  <c r="E128" i="4"/>
  <c r="M64" i="4"/>
  <c r="P64" i="4"/>
  <c r="X64" i="4" s="1"/>
  <c r="T64" i="4"/>
  <c r="T68" i="4"/>
  <c r="Q64" i="4"/>
  <c r="S68" i="4"/>
  <c r="M30" i="4"/>
  <c r="M68" i="4"/>
  <c r="S64" i="4"/>
  <c r="Q16" i="4"/>
  <c r="T47" i="4"/>
  <c r="P47" i="4"/>
  <c r="S16" i="4"/>
  <c r="R16" i="4"/>
  <c r="M16" i="4"/>
  <c r="P16" i="4"/>
  <c r="M47" i="4"/>
  <c r="F135" i="4" s="1"/>
  <c r="G135" i="4" s="1"/>
  <c r="R47" i="4"/>
  <c r="Q47" i="4"/>
  <c r="Q66" i="4"/>
  <c r="V66" i="4" s="1"/>
  <c r="W66" i="4" s="1"/>
  <c r="S66" i="4"/>
  <c r="R66" i="4"/>
  <c r="X66" i="4" s="1"/>
  <c r="T66" i="4"/>
  <c r="E129" i="4"/>
  <c r="M66" i="4"/>
  <c r="M20" i="4"/>
  <c r="C31" i="9"/>
  <c r="F24" i="9" s="1"/>
  <c r="P43" i="4"/>
  <c r="T59" i="4"/>
  <c r="P59" i="4"/>
  <c r="S43" i="4"/>
  <c r="R43" i="4"/>
  <c r="M43" i="4"/>
  <c r="Q43" i="4"/>
  <c r="P28" i="4"/>
  <c r="Q28" i="4"/>
  <c r="R59" i="4"/>
  <c r="Q59" i="4"/>
  <c r="M59" i="4"/>
  <c r="R62" i="4"/>
  <c r="X62" i="4" s="1"/>
  <c r="AA6" i="4"/>
  <c r="T62" i="4"/>
  <c r="AB6" i="4"/>
  <c r="Z6" i="4"/>
  <c r="S62" i="4"/>
  <c r="Q62" i="4"/>
  <c r="V62" i="4" s="1"/>
  <c r="W62" i="4" s="1"/>
  <c r="E137" i="4"/>
  <c r="R28" i="4"/>
  <c r="AC6" i="4"/>
  <c r="AC68" i="4" s="1"/>
  <c r="T28" i="4"/>
  <c r="M28" i="4"/>
  <c r="Y6" i="4"/>
  <c r="J78" i="4"/>
  <c r="U78" i="4" s="1"/>
  <c r="M62" i="4"/>
  <c r="E131" i="4"/>
  <c r="F136" i="4"/>
  <c r="G136" i="4" s="1"/>
  <c r="F133" i="4"/>
  <c r="G133" i="4" s="1"/>
  <c r="F131" i="4"/>
  <c r="F129" i="4"/>
  <c r="X52" i="4"/>
  <c r="V52" i="4"/>
  <c r="W52" i="4" s="1"/>
  <c r="V32" i="4"/>
  <c r="W32" i="4" s="1"/>
  <c r="D58" i="7"/>
  <c r="X39" i="4"/>
  <c r="V39" i="4"/>
  <c r="W39" i="4" s="1"/>
  <c r="X32" i="4"/>
  <c r="V17" i="4"/>
  <c r="W17" i="4" s="1"/>
  <c r="X18" i="4"/>
  <c r="X21" i="4"/>
  <c r="V31" i="4"/>
  <c r="W31" i="4" s="1"/>
  <c r="X29" i="4"/>
  <c r="X20" i="4"/>
  <c r="X42" i="4"/>
  <c r="V18" i="4"/>
  <c r="W18" i="4" s="1"/>
  <c r="V38" i="4"/>
  <c r="W38" i="4" s="1"/>
  <c r="X38" i="4"/>
  <c r="V42" i="4"/>
  <c r="W42" i="4" s="1"/>
  <c r="V25" i="4"/>
  <c r="W25" i="4" s="1"/>
  <c r="V45" i="4"/>
  <c r="W45" i="4" s="1"/>
  <c r="V33" i="4"/>
  <c r="W33" i="4" s="1"/>
  <c r="V21" i="4"/>
  <c r="W21" i="4" s="1"/>
  <c r="V20" i="4"/>
  <c r="W20" i="4" s="1"/>
  <c r="V48" i="4"/>
  <c r="W48" i="4" s="1"/>
  <c r="X31" i="4"/>
  <c r="V26" i="4"/>
  <c r="W26" i="4" s="1"/>
  <c r="V30" i="4"/>
  <c r="W30" i="4" s="1"/>
  <c r="X36" i="4"/>
  <c r="V44" i="4"/>
  <c r="W44" i="4" s="1"/>
  <c r="V29" i="4"/>
  <c r="W29" i="4" s="1"/>
  <c r="X34" i="4"/>
  <c r="X46" i="4"/>
  <c r="X22" i="4"/>
  <c r="X25" i="4"/>
  <c r="V22" i="4"/>
  <c r="W22" i="4" s="1"/>
  <c r="V36" i="4"/>
  <c r="W36" i="4" s="1"/>
  <c r="X45" i="4"/>
  <c r="V46" i="4"/>
  <c r="W46" i="4" s="1"/>
  <c r="V37" i="4"/>
  <c r="W37" i="4" s="1"/>
  <c r="X44" i="4"/>
  <c r="V24" i="4"/>
  <c r="W24" i="4" s="1"/>
  <c r="X24" i="4"/>
  <c r="X35" i="4"/>
  <c r="X33" i="4"/>
  <c r="X30" i="4"/>
  <c r="V34" i="4"/>
  <c r="W34" i="4" s="1"/>
  <c r="X65" i="4"/>
  <c r="X67" i="4"/>
  <c r="V65" i="4"/>
  <c r="W65" i="4" s="1"/>
  <c r="V60" i="4"/>
  <c r="W60" i="4" s="1"/>
  <c r="X63" i="4"/>
  <c r="X60" i="4"/>
  <c r="X57" i="4"/>
  <c r="V63" i="4"/>
  <c r="W63" i="4" s="1"/>
  <c r="V57" i="4"/>
  <c r="W57" i="4" s="1"/>
  <c r="X56" i="4"/>
  <c r="X55" i="4"/>
  <c r="V54" i="4"/>
  <c r="W54" i="4" s="1"/>
  <c r="X54" i="4"/>
  <c r="X58" i="4"/>
  <c r="AB16" i="4"/>
  <c r="AB17" i="4"/>
  <c r="AB19" i="4"/>
  <c r="AB18" i="4"/>
  <c r="AA16" i="4"/>
  <c r="AA17" i="4"/>
  <c r="AA18" i="4"/>
  <c r="AA19" i="4"/>
  <c r="Z16" i="4"/>
  <c r="Z17" i="4"/>
  <c r="Z18" i="4"/>
  <c r="Z19" i="4"/>
  <c r="AC53" i="4"/>
  <c r="D9" i="8"/>
  <c r="D43" i="8"/>
  <c r="D21" i="8"/>
  <c r="X53" i="4" l="1"/>
  <c r="V53" i="4"/>
  <c r="W53" i="4" s="1"/>
  <c r="X51" i="4"/>
  <c r="V49" i="4"/>
  <c r="W49" i="4" s="1"/>
  <c r="F132" i="4"/>
  <c r="G132" i="4" s="1"/>
  <c r="V40" i="4"/>
  <c r="W40" i="4" s="1"/>
  <c r="X49" i="4"/>
  <c r="X41" i="4"/>
  <c r="V68" i="4"/>
  <c r="W68" i="4" s="1"/>
  <c r="Z38" i="4"/>
  <c r="Z41" i="4"/>
  <c r="AB37" i="4"/>
  <c r="AB41" i="4"/>
  <c r="AA24" i="4"/>
  <c r="AA41" i="4"/>
  <c r="Y39" i="4"/>
  <c r="Y41" i="4"/>
  <c r="V41" i="4"/>
  <c r="W41" i="4" s="1"/>
  <c r="V64" i="4"/>
  <c r="W64" i="4" s="1"/>
  <c r="F130" i="4"/>
  <c r="G130" i="4" s="1"/>
  <c r="F128" i="4"/>
  <c r="G128" i="4" s="1"/>
  <c r="V16" i="4"/>
  <c r="W16" i="4" s="1"/>
  <c r="V47" i="4"/>
  <c r="W47" i="4" s="1"/>
  <c r="X16" i="4"/>
  <c r="X47" i="4"/>
  <c r="F5" i="9"/>
  <c r="G129" i="4"/>
  <c r="X43" i="4"/>
  <c r="V43" i="4"/>
  <c r="W43" i="4" s="1"/>
  <c r="V59" i="4"/>
  <c r="W59" i="4" s="1"/>
  <c r="X59" i="4"/>
  <c r="V28" i="4"/>
  <c r="W28" i="4" s="1"/>
  <c r="X28" i="4"/>
  <c r="Z26" i="4"/>
  <c r="Z23" i="4"/>
  <c r="Z34" i="4"/>
  <c r="Z30" i="4"/>
  <c r="Z22" i="4"/>
  <c r="AA22" i="4"/>
  <c r="AA33" i="4"/>
  <c r="AA46" i="4"/>
  <c r="AA29" i="4"/>
  <c r="AA40" i="4"/>
  <c r="AA38" i="4"/>
  <c r="AA25" i="4"/>
  <c r="AA35" i="4"/>
  <c r="AA44" i="4"/>
  <c r="AA20" i="4"/>
  <c r="Z35" i="4"/>
  <c r="Z29" i="4"/>
  <c r="Z24" i="4"/>
  <c r="Z27" i="4"/>
  <c r="Z20" i="4"/>
  <c r="Z33" i="4"/>
  <c r="Z21" i="4"/>
  <c r="Z25" i="4"/>
  <c r="Z39" i="4"/>
  <c r="AA51" i="4"/>
  <c r="Z31" i="4"/>
  <c r="Z37" i="4"/>
  <c r="AA34" i="4"/>
  <c r="AB56" i="4"/>
  <c r="AB46" i="4"/>
  <c r="AB45" i="4"/>
  <c r="AA32" i="4"/>
  <c r="AB23" i="4"/>
  <c r="AB34" i="4"/>
  <c r="AA30" i="4"/>
  <c r="AA37" i="4"/>
  <c r="AB35" i="4"/>
  <c r="AB58" i="4"/>
  <c r="AA45" i="4"/>
  <c r="AB22" i="4"/>
  <c r="AB48" i="4"/>
  <c r="AA31" i="4"/>
  <c r="AA36" i="4"/>
  <c r="AA23" i="4"/>
  <c r="AB24" i="4"/>
  <c r="AB57" i="4"/>
  <c r="AB66" i="4"/>
  <c r="AB32" i="4"/>
  <c r="AB31" i="4"/>
  <c r="AB44" i="4"/>
  <c r="AB68" i="4"/>
  <c r="AB21" i="4"/>
  <c r="AB27" i="4"/>
  <c r="AA47" i="4"/>
  <c r="AA48" i="4"/>
  <c r="AB33" i="4"/>
  <c r="AB63" i="4"/>
  <c r="AB25" i="4"/>
  <c r="AB67" i="4"/>
  <c r="AB51" i="4"/>
  <c r="AB20" i="4"/>
  <c r="AB28" i="4"/>
  <c r="AB39" i="4"/>
  <c r="AA42" i="4"/>
  <c r="AA49" i="4"/>
  <c r="AA43" i="4"/>
  <c r="AB61" i="4"/>
  <c r="AB38" i="4"/>
  <c r="AA52" i="4"/>
  <c r="AB26" i="4"/>
  <c r="AA28" i="4"/>
  <c r="AB54" i="4"/>
  <c r="AA26" i="4"/>
  <c r="AB55" i="4"/>
  <c r="AB62" i="4"/>
  <c r="AB43" i="4"/>
  <c r="AB59" i="4"/>
  <c r="AA27" i="4"/>
  <c r="AB64" i="4"/>
  <c r="AB40" i="4"/>
  <c r="AA21" i="4"/>
  <c r="AB47" i="4"/>
  <c r="AB50" i="4"/>
  <c r="AA39" i="4"/>
  <c r="AA50" i="4"/>
  <c r="AB53" i="4"/>
  <c r="AB36" i="4"/>
  <c r="Z36" i="4"/>
  <c r="AB42" i="4"/>
  <c r="AB60" i="4"/>
  <c r="AB29" i="4"/>
  <c r="Z40" i="4"/>
  <c r="AB52" i="4"/>
  <c r="Z32" i="4"/>
  <c r="Z28" i="4"/>
  <c r="AB30" i="4"/>
  <c r="AB65" i="4"/>
  <c r="AB49" i="4"/>
  <c r="AC63" i="4"/>
  <c r="AC56" i="4"/>
  <c r="AC55" i="4"/>
  <c r="AC66" i="4"/>
  <c r="AC67" i="4"/>
  <c r="AC59" i="4"/>
  <c r="AC64" i="4"/>
  <c r="AC62" i="4"/>
  <c r="AC60" i="4"/>
  <c r="G137" i="4"/>
  <c r="Y32" i="4"/>
  <c r="AC58" i="4"/>
  <c r="AC57" i="4"/>
  <c r="Y21" i="4"/>
  <c r="AC54" i="4"/>
  <c r="AC61" i="4"/>
  <c r="AC65" i="4"/>
  <c r="Y17" i="4"/>
  <c r="Y20" i="4"/>
  <c r="Y36" i="4"/>
  <c r="Y40" i="4"/>
  <c r="Y22" i="4"/>
  <c r="Y29" i="4"/>
  <c r="Y37" i="4"/>
  <c r="Y18" i="4"/>
  <c r="Y25" i="4"/>
  <c r="Y27" i="4"/>
  <c r="Y23" i="4"/>
  <c r="Y30" i="4"/>
  <c r="Y33" i="4"/>
  <c r="Y34" i="4"/>
  <c r="Y24" i="4"/>
  <c r="Y28" i="4"/>
  <c r="Y31" i="4"/>
  <c r="Y19" i="4"/>
  <c r="Y26" i="4"/>
  <c r="Y16" i="4"/>
  <c r="Y38" i="4"/>
  <c r="Y35" i="4"/>
  <c r="K78" i="4"/>
  <c r="G131" i="4"/>
  <c r="H55" i="7"/>
  <c r="H56" i="7"/>
  <c r="H57" i="7"/>
  <c r="H23" i="7"/>
  <c r="D58" i="8"/>
  <c r="H19" i="7"/>
  <c r="H15" i="7"/>
  <c r="H32" i="7"/>
  <c r="H41" i="7"/>
  <c r="H22" i="7"/>
  <c r="H27" i="7"/>
  <c r="H47" i="7"/>
  <c r="H34" i="7"/>
  <c r="H24" i="7"/>
  <c r="H35" i="7"/>
  <c r="H37" i="7"/>
  <c r="H9" i="7"/>
  <c r="H36" i="7"/>
  <c r="H17" i="7"/>
  <c r="H42" i="7"/>
  <c r="H29" i="7"/>
  <c r="H39" i="7"/>
  <c r="H8" i="7"/>
  <c r="H31" i="7"/>
  <c r="H51" i="7"/>
  <c r="H33" i="7"/>
  <c r="H43" i="7"/>
  <c r="H7" i="7"/>
  <c r="H14" i="7"/>
  <c r="H21" i="7"/>
  <c r="H6" i="7"/>
  <c r="H30" i="7"/>
  <c r="H11" i="7"/>
  <c r="H46" i="7"/>
  <c r="H52" i="7"/>
  <c r="H20" i="7"/>
  <c r="H54" i="7"/>
  <c r="H12" i="7"/>
  <c r="H44" i="7"/>
  <c r="H53" i="7"/>
  <c r="H40" i="7"/>
  <c r="H26" i="7"/>
  <c r="H49" i="7"/>
  <c r="H50" i="7"/>
  <c r="H25" i="7"/>
  <c r="H38" i="7"/>
  <c r="H16" i="7"/>
  <c r="H10" i="7"/>
  <c r="H18" i="7"/>
  <c r="H28" i="7"/>
  <c r="H45" i="7"/>
  <c r="H13" i="7"/>
  <c r="H48" i="7"/>
  <c r="F29" i="9"/>
  <c r="F11" i="9"/>
  <c r="F23" i="9"/>
  <c r="F26" i="9"/>
  <c r="F25" i="9"/>
  <c r="F16" i="9"/>
  <c r="F28" i="9"/>
  <c r="F9" i="9"/>
  <c r="F27" i="9"/>
  <c r="F30" i="9"/>
  <c r="F7" i="9"/>
  <c r="F17" i="9"/>
  <c r="F18" i="9"/>
  <c r="F8" i="9"/>
  <c r="F10" i="9"/>
  <c r="F19" i="9"/>
  <c r="F6" i="9"/>
  <c r="F20" i="9"/>
  <c r="F13" i="9"/>
  <c r="F14" i="9"/>
  <c r="F21" i="9"/>
  <c r="F15" i="9"/>
  <c r="F12" i="9"/>
  <c r="F22" i="9"/>
  <c r="W78" i="4" l="1"/>
  <c r="X78" i="4"/>
  <c r="V78" i="4"/>
  <c r="AA7" i="4"/>
  <c r="Z9" i="4"/>
  <c r="AB12" i="4"/>
  <c r="AA9" i="4"/>
  <c r="AB7" i="4"/>
  <c r="Z8" i="4"/>
  <c r="AA11" i="4"/>
  <c r="AA8" i="4"/>
  <c r="Z7" i="4"/>
  <c r="AB11" i="4"/>
  <c r="AA12" i="4"/>
  <c r="AB8" i="4"/>
  <c r="Z11" i="4"/>
  <c r="Z12" i="4"/>
  <c r="AB9" i="4"/>
  <c r="AC9" i="4"/>
  <c r="AC11" i="4"/>
  <c r="AC7" i="4"/>
  <c r="AC8" i="4"/>
  <c r="AC12" i="4"/>
  <c r="Y8" i="4"/>
  <c r="X104" i="4" s="1"/>
  <c r="Y9" i="4"/>
  <c r="Y7" i="4"/>
  <c r="Y12" i="4"/>
  <c r="Y11" i="4"/>
  <c r="H55" i="8"/>
  <c r="H56" i="8"/>
  <c r="H57" i="8"/>
  <c r="H38" i="8"/>
  <c r="H54" i="8"/>
  <c r="H9" i="8"/>
  <c r="H36" i="8"/>
  <c r="H45" i="8"/>
  <c r="H15" i="8"/>
  <c r="H46" i="8"/>
  <c r="H11" i="8"/>
  <c r="H8" i="8"/>
  <c r="H12" i="8"/>
  <c r="H7" i="8"/>
  <c r="H24" i="8"/>
  <c r="H20" i="8"/>
  <c r="H28" i="8"/>
  <c r="H18" i="8"/>
  <c r="H41" i="8"/>
  <c r="H33" i="8"/>
  <c r="H6" i="8"/>
  <c r="H17" i="8"/>
  <c r="H35" i="8"/>
  <c r="H32" i="8"/>
  <c r="H39" i="8"/>
  <c r="H53" i="8"/>
  <c r="H34" i="8"/>
  <c r="H21" i="8"/>
  <c r="H51" i="8"/>
  <c r="H37" i="8"/>
  <c r="H27" i="8"/>
  <c r="H25" i="8"/>
  <c r="H44" i="8"/>
  <c r="H26" i="8"/>
  <c r="H13" i="8"/>
  <c r="H50" i="8"/>
  <c r="H30" i="8"/>
  <c r="H22" i="8"/>
  <c r="H42" i="8"/>
  <c r="H29" i="8"/>
  <c r="H40" i="8"/>
  <c r="H10" i="8"/>
  <c r="H43" i="8"/>
  <c r="H47" i="8"/>
  <c r="H31" i="8"/>
  <c r="H23" i="8"/>
  <c r="H16" i="8"/>
  <c r="H48" i="8"/>
  <c r="H49" i="8"/>
  <c r="H14" i="8"/>
  <c r="H52" i="8"/>
  <c r="H19" i="8"/>
  <c r="AA10" i="4"/>
  <c r="AB10" i="4"/>
  <c r="AC10" i="4"/>
  <c r="Y10" i="4"/>
  <c r="Z10" i="4"/>
  <c r="D123" i="4" l="1"/>
  <c r="D96" i="4"/>
  <c r="Y104" i="4"/>
  <c r="X91" i="4"/>
  <c r="X87" i="4"/>
  <c r="Z104" i="4"/>
  <c r="X92" i="4"/>
  <c r="AA104" i="4"/>
  <c r="X89" i="4"/>
  <c r="AB104" i="4"/>
  <c r="X88" i="4"/>
  <c r="X90" i="4"/>
  <c r="X108" i="4" l="1"/>
  <c r="X134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<sst xmlns="http://schemas.openxmlformats.org/spreadsheetml/2006/main" count="388" uniqueCount="281">
  <si>
    <t>Yield</t>
  </si>
  <si>
    <t>Bid</t>
  </si>
  <si>
    <t>Ask</t>
  </si>
  <si>
    <t>2026 Jan 15</t>
  </si>
  <si>
    <t>2026 Apr 15</t>
  </si>
  <si>
    <t>2026 Jul 15</t>
  </si>
  <si>
    <t>2026 Oct 15</t>
  </si>
  <si>
    <t>2027 Jan 15</t>
  </si>
  <si>
    <t>2027 Apr 15</t>
  </si>
  <si>
    <t>2027 Jul 15</t>
  </si>
  <si>
    <t>2027 Oct 15</t>
  </si>
  <si>
    <t>2028 Jan 15</t>
  </si>
  <si>
    <t>2028 Apr 15</t>
  </si>
  <si>
    <t>2028 Jul 15</t>
  </si>
  <si>
    <t>2028 Oct 15</t>
  </si>
  <si>
    <t>2029 Jan 15</t>
  </si>
  <si>
    <t>2029 Apr 15</t>
  </si>
  <si>
    <t>2029 Jul 15</t>
  </si>
  <si>
    <t>2029 Oct 15</t>
  </si>
  <si>
    <t>2030 Jan 15</t>
  </si>
  <si>
    <t>2030 Jul 15</t>
  </si>
  <si>
    <t>2031 Jan 15</t>
  </si>
  <si>
    <t>2031 Jul 15</t>
  </si>
  <si>
    <t>2032 Jan 15</t>
  </si>
  <si>
    <t>2032 Apr 15</t>
  </si>
  <si>
    <t>2032 Jul 15</t>
  </si>
  <si>
    <t>2033 Jan 15</t>
  </si>
  <si>
    <t>2033 Jul 15</t>
  </si>
  <si>
    <t>2034 Jan 15</t>
  </si>
  <si>
    <t>2034 Jul 15</t>
  </si>
  <si>
    <t>2040 Feb 15</t>
  </si>
  <si>
    <t>2041 Feb 15</t>
  </si>
  <si>
    <t>2042 Feb 15</t>
  </si>
  <si>
    <t>2043 Feb 15</t>
  </si>
  <si>
    <t>2044 Feb 15</t>
  </si>
  <si>
    <t>2045 Feb 15</t>
  </si>
  <si>
    <t>2046 Feb 15</t>
  </si>
  <si>
    <t>2047 Feb 15</t>
  </si>
  <si>
    <t>2048 Feb 15</t>
  </si>
  <si>
    <t>2049 Feb 15</t>
  </si>
  <si>
    <t>2050 Feb 15</t>
  </si>
  <si>
    <t>2051 Feb 15</t>
  </si>
  <si>
    <t>2052 Feb 15</t>
  </si>
  <si>
    <t>2053 Feb 15</t>
  </si>
  <si>
    <t>2054 Feb 15</t>
  </si>
  <si>
    <t>Started. Replace YTM_Duration_Macro. Omit macro and just use WSJ yields and calculate duration.</t>
  </si>
  <si>
    <t>https://www.bogleheads.org/forum/viewtopic.php?p=8175666#p8175666</t>
  </si>
  <si>
    <t>Lkup_key</t>
  </si>
  <si>
    <t>Date</t>
  </si>
  <si>
    <t>Price</t>
  </si>
  <si>
    <t>CPI Month</t>
  </si>
  <si>
    <t>Jan</t>
  </si>
  <si>
    <t>Feb</t>
  </si>
  <si>
    <t>Mar</t>
  </si>
  <si>
    <t>Apr</t>
  </si>
  <si>
    <t>May</t>
  </si>
  <si>
    <t>June</t>
  </si>
  <si>
    <t>July</t>
  </si>
  <si>
    <t>Aug</t>
  </si>
  <si>
    <t>Sep</t>
  </si>
  <si>
    <t>Oct</t>
  </si>
  <si>
    <t>Nov</t>
  </si>
  <si>
    <t>Dec</t>
  </si>
  <si>
    <t>Reported</t>
  </si>
  <si>
    <t>Mid Feb</t>
  </si>
  <si>
    <t>Mid Mar</t>
  </si>
  <si>
    <t>Mid Apr</t>
  </si>
  <si>
    <t>Mid May</t>
  </si>
  <si>
    <t>Mid Jun</t>
  </si>
  <si>
    <t>Mid Jul</t>
  </si>
  <si>
    <t>Mid Aug</t>
  </si>
  <si>
    <t>Mid Sep</t>
  </si>
  <si>
    <t>Mid Oct</t>
  </si>
  <si>
    <t>Mid Nov</t>
  </si>
  <si>
    <t>Mid Dec</t>
  </si>
  <si>
    <t>Mid Jan</t>
  </si>
  <si>
    <t>TIPS Date</t>
  </si>
  <si>
    <t>Apr 1</t>
  </si>
  <si>
    <t>May 1</t>
  </si>
  <si>
    <t>Jun 1</t>
  </si>
  <si>
    <t>Jul 1</t>
  </si>
  <si>
    <t>Aug 1</t>
  </si>
  <si>
    <t>Sep 1</t>
  </si>
  <si>
    <t>Oct 1</t>
  </si>
  <si>
    <t>Nov 1</t>
  </si>
  <si>
    <t>Dec 1</t>
  </si>
  <si>
    <t>Jan 1</t>
  </si>
  <si>
    <t>Feb 1</t>
  </si>
  <si>
    <t>Mar 1</t>
  </si>
  <si>
    <t>Ref CPI</t>
  </si>
  <si>
    <t>Principal</t>
  </si>
  <si>
    <t>Macaulay</t>
  </si>
  <si>
    <t>Modified</t>
  </si>
  <si>
    <t>Index</t>
  </si>
  <si>
    <t>Ratio</t>
  </si>
  <si>
    <t>Indexed</t>
  </si>
  <si>
    <t>Market</t>
  </si>
  <si>
    <t>Value</t>
  </si>
  <si>
    <t>Matures</t>
  </si>
  <si>
    <t>Coupon</t>
  </si>
  <si>
    <t>Term</t>
  </si>
  <si>
    <t>Dated</t>
  </si>
  <si>
    <t>Face</t>
  </si>
  <si>
    <t>Dated Dt</t>
  </si>
  <si>
    <t>1+</t>
  </si>
  <si>
    <t>15+</t>
  </si>
  <si>
    <t>From --&gt;</t>
  </si>
  <si>
    <t>To --&gt;</t>
  </si>
  <si>
    <t>Index --&gt;</t>
  </si>
  <si>
    <t>Percent of Market Value (adds to 100%)</t>
  </si>
  <si>
    <t>Item on Quotes sheet --&gt;</t>
  </si>
  <si>
    <t>Fraction</t>
  </si>
  <si>
    <t>Period</t>
  </si>
  <si>
    <t>Full</t>
  </si>
  <si>
    <t>Periods</t>
  </si>
  <si>
    <t>Base</t>
  </si>
  <si>
    <t>Calc Duration</t>
  </si>
  <si>
    <t>Excel Duration</t>
  </si>
  <si>
    <t>Price Fall</t>
  </si>
  <si>
    <t>Calculated Dirty Prices</t>
  </si>
  <si>
    <t>Yield Increase</t>
  </si>
  <si>
    <t>-----</t>
  </si>
  <si>
    <t>------</t>
  </si>
  <si>
    <t>#0.00%</t>
  </si>
  <si>
    <t>General</t>
  </si>
  <si>
    <t>&lt;-- index</t>
  </si>
  <si>
    <t xml:space="preserve"> 0 - 5</t>
  </si>
  <si>
    <t xml:space="preserve"> 1 - 5</t>
  </si>
  <si>
    <t xml:space="preserve"> 1 - 10</t>
  </si>
  <si>
    <t xml:space="preserve"> </t>
  </si>
  <si>
    <t xml:space="preserve"> 1+ </t>
  </si>
  <si>
    <t xml:space="preserve"> 15+ </t>
  </si>
  <si>
    <t>Life</t>
  </si>
  <si>
    <t>Number of TIPS --&gt;</t>
  </si>
  <si>
    <t>Average life --&gt;</t>
  </si>
  <si>
    <t>#0.00</t>
  </si>
  <si>
    <t>0 - 5</t>
  </si>
  <si>
    <t>Avg Macaulay Duration --&gt;</t>
  </si>
  <si>
    <t>Avg Modified Duration --&gt;</t>
  </si>
  <si>
    <t>Avg yield to maturity --&gt;</t>
  </si>
  <si>
    <t>mm/dd/yyyy dddd;;</t>
  </si>
  <si>
    <t>Settlement</t>
  </si>
  <si>
    <t>While yields are positive could just use Excel DURATION and MDURATION functions.</t>
  </si>
  <si>
    <t>Old YTM_Duration_Macro workbook weighted by month end market values.</t>
  </si>
  <si>
    <t>This workbook weights by current market value for the day of the WSJ quotes.</t>
  </si>
  <si>
    <t>Paste quotes from WSJ Quotes page:</t>
  </si>
  <si>
    <t>https://www.wsj.com/market-data/bonds/tips</t>
  </si>
  <si>
    <t>These are usually updated around 3:30 PM each day bond market open.</t>
  </si>
  <si>
    <t>Steps:</t>
  </si>
  <si>
    <t>Select top-left cell in that range.</t>
  </si>
  <si>
    <t>Select all the quotes from the WSJ page, for example from</t>
  </si>
  <si>
    <t>"2025 Jan 15" Maturity at top-left down to</t>
  </si>
  <si>
    <t>Add latest CPI to table on CPI sheet from this BLS web page:</t>
  </si>
  <si>
    <t>https://data.bls.gov/timeseries/CUUR0000SA0</t>
  </si>
  <si>
    <t>Here is the schedule for CPI releases:</t>
  </si>
  <si>
    <t>https://www.bls.gov/schedule/news_release/cpi.htm</t>
  </si>
  <si>
    <t>Enter new values for "Matures" --&gt; "Face Value" columns.</t>
  </si>
  <si>
    <t>If a new TIPS is auctioned, add row for it to Weights sheet:</t>
  </si>
  <si>
    <t>https://eyebonds.info/tips/tipslist_iss.html</t>
  </si>
  <si>
    <t>This can be found in "Amount in 000's" column near bottom of following web page:</t>
  </si>
  <si>
    <t>These can be found at the bottom of following web page:</t>
  </si>
  <si>
    <t>If an existing TIPS is re-auctioned, update "Face Value" on Weights sheet.</t>
  </si>
  <si>
    <t>Insert copied row below previous maturity.</t>
  </si>
  <si>
    <t>Copy row for an existing TIPS.</t>
  </si>
  <si>
    <t>"1028" Accrued Principal at bottom_right.</t>
  </si>
  <si>
    <t>Publish on my Downloads page.</t>
  </si>
  <si>
    <t>Mature</t>
  </si>
  <si>
    <t xml:space="preserve">Column on Quotes sheet --&gt; </t>
  </si>
  <si>
    <t>From</t>
  </si>
  <si>
    <t>To</t>
  </si>
  <si>
    <t>Change</t>
  </si>
  <si>
    <t>Nbr</t>
  </si>
  <si>
    <t>Scale</t>
  </si>
  <si>
    <t xml:space="preserve"> &lt;-- Item on Quotes sheet</t>
  </si>
  <si>
    <t xml:space="preserve">  &lt;-- Column on Quotes sheet </t>
  </si>
  <si>
    <t>Minimum</t>
  </si>
  <si>
    <t>Reading Results</t>
  </si>
  <si>
    <t>Daily Maintenance</t>
  </si>
  <si>
    <t>Monthly Maintenance</t>
  </si>
  <si>
    <t>At the top-right of the Weights sheet are the Average Yeld-to-Maturity (YTM),</t>
  </si>
  <si>
    <t>Years to Maturity (Life), Duration (Macaulay and Modified), and</t>
  </si>
  <si>
    <t>percentage price change if yields were to rise 2% points.</t>
  </si>
  <si>
    <t>Shown for each of five TIPS indexes. Most TIPS funds follow one of them.</t>
  </si>
  <si>
    <t>1 - 5</t>
  </si>
  <si>
    <t>1 - 10</t>
  </si>
  <si>
    <t>Matures within five years</t>
  </si>
  <si>
    <t>Matures between one and five years</t>
  </si>
  <si>
    <t>Matures between one and ten years</t>
  </si>
  <si>
    <t>Matures in one year or longer</t>
  </si>
  <si>
    <t>Matures in fifteen years or more</t>
  </si>
  <si>
    <t>For more information see this thread:</t>
  </si>
  <si>
    <t>https://www.bogleheads.org/forum/viewtopic.php?t=104845</t>
  </si>
  <si>
    <t>Hidden Sheets</t>
  </si>
  <si>
    <t>Prices</t>
  </si>
  <si>
    <t>Yields</t>
  </si>
  <si>
    <t>Graphically shows price change between two dates</t>
  </si>
  <si>
    <t>Graphically shows yield change between two dates</t>
  </si>
  <si>
    <t>to overwrite the formulas that read from the WSJ sheet.)</t>
  </si>
  <si>
    <t>Will use these myself. Hiding them because others unlikely to use them.</t>
  </si>
  <si>
    <t>Add hidden Prices and Yields sheets.</t>
  </si>
  <si>
    <t>Select wsj_paste_here range (green cells on WSJ sheet) and clear the contents.</t>
  </si>
  <si>
    <t>Paste at the top-left cell previously selected on WSJ sheet.</t>
  </si>
  <si>
    <t>and insert them immediately to the right (column G). I then Paste Values</t>
  </si>
  <si>
    <t>(To use these I will copy the Bid, Ask, and Yield columns (D:F) on the Quotes sheet</t>
  </si>
  <si>
    <t>But these functions fail if yield is negative. So  use "New Method" described in following post:</t>
  </si>
  <si>
    <t>Copy down formulas for Matures and Coupon on Quotes sheet</t>
  </si>
  <si>
    <t>so that new TIPS will be included.</t>
  </si>
  <si>
    <t>Trade date</t>
  </si>
  <si>
    <t>Trade date --&gt;</t>
  </si>
  <si>
    <t>Add trade date</t>
  </si>
  <si>
    <t>&lt;-- row offset to Number of TIPS</t>
  </si>
  <si>
    <t>Option to show any data from Mkt Value to Fall if rates rise 2%</t>
  </si>
  <si>
    <t>Sum market value ($000,000)--&gt;</t>
  </si>
  <si>
    <t>Simplify Ref CPI formula using EOMONTH function</t>
  </si>
  <si>
    <t>Fix 4 columns, Life:Fall 2%, to be zero if error. Cropped up today on maturity date of 2 Jan 15 2025 TIPS.</t>
  </si>
  <si>
    <t>Fix "Fraction Period" to be portion AFTER settlement</t>
  </si>
  <si>
    <t xml:space="preserve">Settlement --&gt; </t>
  </si>
  <si>
    <t>Min mature to include --&gt;</t>
  </si>
  <si>
    <t>Filter out near-maturity TIPS on Weights sheet, not on Quotes sheet</t>
  </si>
  <si>
    <t>Add new Jan 2035 maturity to be issued 1/31/2025</t>
  </si>
  <si>
    <t>2035 Jan 15</t>
  </si>
  <si>
    <t>Add WSJ Quotes Friday 1/31/2025</t>
  </si>
  <si>
    <t>2055 Feb 15</t>
  </si>
  <si>
    <t>Add new Feb 2055 maturity to be issued 2/28/2025</t>
  </si>
  <si>
    <t>prices from TD FedInvest 2/28/2025; yield calc off ask price</t>
  </si>
  <si>
    <t>&lt;-- bottom of wsj_paste_here so won't delete rows below</t>
  </si>
  <si>
    <t>Add WSJ Quotes Friday 2/28/2025 (FedInvest for Feb 2055 not yet in WSJ Quotes)</t>
  </si>
  <si>
    <t>Feb 2055 first appears in WSJ Quotes</t>
  </si>
  <si>
    <t>Item</t>
  </si>
  <si>
    <t>Added YldCrv sheet</t>
  </si>
  <si>
    <t>YldCrv</t>
  </si>
  <si>
    <t>Graphically shows yields for selected maturities</t>
  </si>
  <si>
    <t>Add WSJ Quotes for Monday 3/31/2025</t>
  </si>
  <si>
    <t>Increase Jan 2035 face value for March auction</t>
  </si>
  <si>
    <t>2030 Apr 15</t>
  </si>
  <si>
    <t>Save daily production file as new file to publish; deleted Apr 2025; add Apr 2030</t>
  </si>
  <si>
    <t>Save 4/30 published file as new production file for May.</t>
  </si>
  <si>
    <t>Add Face Value column on quotes page for two reasons:</t>
  </si>
  <si>
    <t>Handle new auctions at any  desired day during the  month.</t>
  </si>
  <si>
    <t>Total/Avg</t>
  </si>
  <si>
    <t>#,###,##0</t>
  </si>
  <si>
    <t>Mod</t>
  </si>
  <si>
    <t>Mac</t>
  </si>
  <si>
    <t>##0.00%</t>
  </si>
  <si>
    <t>Duratn</t>
  </si>
  <si>
    <t>Fall If</t>
  </si>
  <si>
    <t>mm/dd/yyyy dddd</t>
  </si>
  <si>
    <t>(To delete the table select all the &lt;blue&gt; cells.)</t>
  </si>
  <si>
    <t>Handle new new section on Weights sheet intended if user saves his holdings rather than all outstanding TIPS.</t>
  </si>
  <si>
    <t>On Weights sheet</t>
  </si>
  <si>
    <t>Move old summary section by index to the right.</t>
  </si>
  <si>
    <t>Dup of the formula immed above this table.</t>
  </si>
  <si>
    <t>Avg</t>
  </si>
  <si>
    <t>Monday</t>
  </si>
  <si>
    <t>Dup of formula immed above table. Must include the formula to deleted the  table.</t>
  </si>
  <si>
    <t>On Quotes sheet revise face value for Jan 2035 to include May auction</t>
  </si>
  <si>
    <t>Calculate Dated Date &amp; Ref CPI on Dated Date instead of entering by hand.</t>
  </si>
  <si>
    <t>Add new summary of all TIPS listed. Useful if a user's holdings are listed instead of all outstanding TIPS.</t>
  </si>
  <si>
    <t>On Quotes sheet revise face value for Apr 2030 to include June auction</t>
  </si>
  <si>
    <t>Friday</t>
  </si>
  <si>
    <t>2035 Jul 15</t>
  </si>
  <si>
    <t>July 2035 maturity first appears on WSJ web page -- added to Quotes sheet</t>
  </si>
  <si>
    <t>Added July 2035 to Weights sheet</t>
  </si>
  <si>
    <t>Add Aug 2025 auction Feb 2055 to Quotes sheet for 8/29/2025</t>
  </si>
  <si>
    <t>Add section at bottom of Weights sheet to calc avg yield for TIPS maturing each year 2026-2035</t>
  </si>
  <si>
    <t>Mkt Val</t>
  </si>
  <si>
    <t>X Yield</t>
  </si>
  <si>
    <t>Mkt Value</t>
  </si>
  <si>
    <t>Yld X M Val</t>
  </si>
  <si>
    <t>Avg Yield</t>
  </si>
  <si>
    <t>Year</t>
  </si>
  <si>
    <t>Section added 9/23/2025 for iShares TIPS Ibond ETFs</t>
  </si>
  <si>
    <t>Include 2 new hidden columns (Mature Year &amp; Mkt Val X Yield) to calc product of market value and yield</t>
  </si>
  <si>
    <t>(Doing quarterly update today since will be out of town on 9/30/2025.)</t>
  </si>
  <si>
    <t>Include Sep 2025 auction weight for July 2035 to Quotes sheet for 9/26/2025</t>
  </si>
  <si>
    <t>2030 Oct 15</t>
  </si>
  <si>
    <t>unch.</t>
  </si>
  <si>
    <t>Tuesday</t>
  </si>
  <si>
    <t>Wednesday</t>
  </si>
  <si>
    <t>Thursday</t>
  </si>
  <si>
    <t>Include new Oct 2030 issue. Unable to include as of 10/31.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</si>
</sst>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3" formatCode="_(* #,##0.00_);_(* \(#,##0.00\);_(* &quot;-&quot;??_);_(@_)"/>
    <numFmt numFmtId="164" formatCode="##0;[Red]\-##0"/>
    <numFmt numFmtId="165" formatCode="_(* #,##0.00000_);_(* \(#,##0.00000\);_(* &quot;-&quot;??_);_(@_)"/>
    <numFmt numFmtId="166" formatCode="_(* #,##0.000_);_(* \(#,##0.000\);_(* &quot;-&quot;??_);_(@_)"/>
    <numFmt numFmtId="167" formatCode="0.000%"/>
    <numFmt numFmtId="168" formatCode="_(* #,##0_);_(* \(#,##0\);_(* &quot;-&quot;??_);_(@_)"/>
    <numFmt numFmtId="169" formatCode="0.000%;\-0.000%;&quot;-&quot;_%"/>
    <numFmt numFmtId="170" formatCode="#0.000%;[Red]\-#0.000%"/>
    <numFmt numFmtId="171" formatCode="0.0000%"/>
    <numFmt numFmtId="172" formatCode="0.00%;\-0.00%;&quot;-&quot;_%"/>
    <numFmt numFmtId="173" formatCode="#\ ???/???;;&quot;-&quot;_0"/>
    <numFmt numFmtId="174" formatCode="_(* #,##0.0_);_(* \(#,##0.0\);_(* &quot;-&quot;??_);_(@_)"/>
  </numFmts>
  <fonts count="52" x14ac:knownFonts="1">
    <font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u/>
      <sz val="11"/>
      <color theme="10"/>
      <name val="Calibri"/>
      <family val="2"/>
    </font>
    <font>
      <b/>
      <sz val="10"/>
      <name val="Calibri"/>
      <family val="2"/>
    </font>
    <font>
      <sz val="11"/>
      <name val="Calibri"/>
      <family val="2"/>
    </font>
    <font>
      <b/>
      <sz val="11"/>
      <color theme="1"/>
      <name val="Calibri"/>
      <family val="2"/>
    </font>
    <font>
      <sz val="11"/>
      <color theme="1"/>
      <name val="Courier New"/>
      <family val="3"/>
    </font>
    <font>
      <b/>
      <sz val="11"/>
      <color theme="1"/>
      <name val="Aptos Narrow"/>
      <family val="2"/>
      <scheme val="minor"/>
    </font>
    <font>
      <b/>
      <sz val="11"/>
      <color theme="1"/>
      <name val="Courier New"/>
      <family val="3"/>
    </font>
    <font>
      <i/>
      <sz val="11"/>
      <color theme="1"/>
      <name val="Courier New"/>
      <family val="3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3" tint="0.74999237037263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42" fillId="0" borderId="0" applyFont="0" applyFill="0" applyBorder="0" applyAlignment="0" applyProtection="0"/>
    <xf numFmtId="9" fontId="41" fillId="0" borderId="0" applyFont="0" applyFill="0" applyBorder="0" applyAlignment="0" applyProtection="0"/>
    <xf numFmtId="0" fontId="43" fillId="0" borderId="0" applyNumberFormat="0" applyFill="0" applyBorder="0" applyAlignment="0" applyProtection="0"/>
  </cellStyleXfs>
  <cellXfs count="240">
    <xf numFmtId="0" fontId="0" fillId="0" borderId="0" xfId="0"/>
    <xf numFmtId="14" fontId="40" fillId="0" borderId="0" xfId="0" applyNumberFormat="1" applyFont="1"/>
    <xf numFmtId="0" fontId="40" fillId="0" borderId="0" xfId="0" applyFont="1"/>
    <xf numFmtId="0" fontId="44" fillId="0" borderId="0" xfId="3" applyFont="1"/>
    <xf numFmtId="0" fontId="45" fillId="0" borderId="0" xfId="0" applyFont="1" applyAlignment="1">
      <alignment horizontal="center"/>
    </xf>
    <xf numFmtId="166" fontId="40" fillId="0" borderId="0" xfId="1" applyNumberFormat="1" applyFont="1"/>
    <xf numFmtId="167" fontId="40" fillId="0" borderId="0" xfId="2" applyNumberFormat="1" applyFont="1"/>
    <xf numFmtId="165" fontId="40" fillId="0" borderId="0" xfId="1" applyNumberFormat="1" applyFont="1"/>
    <xf numFmtId="168" fontId="40" fillId="0" borderId="0" xfId="1" applyNumberFormat="1" applyFont="1"/>
    <xf numFmtId="165" fontId="40" fillId="0" borderId="0" xfId="1" applyNumberFormat="1" applyFont="1" applyAlignment="1">
      <alignment horizontal="center"/>
    </xf>
    <xf numFmtId="167" fontId="40" fillId="0" borderId="0" xfId="2" applyNumberFormat="1" applyFont="1" applyAlignment="1">
      <alignment horizontal="center"/>
    </xf>
    <xf numFmtId="0" fontId="40" fillId="0" borderId="0" xfId="0" applyFont="1" applyAlignment="1">
      <alignment horizontal="center"/>
    </xf>
    <xf numFmtId="164" fontId="40" fillId="0" borderId="0" xfId="0" applyNumberFormat="1" applyFont="1" applyAlignment="1">
      <alignment horizontal="center"/>
    </xf>
    <xf numFmtId="165" fontId="40" fillId="3" borderId="0" xfId="1" applyNumberFormat="1" applyFont="1" applyFill="1"/>
    <xf numFmtId="14" fontId="40" fillId="3" borderId="0" xfId="0" applyNumberFormat="1" applyFont="1" applyFill="1"/>
    <xf numFmtId="0" fontId="40" fillId="2" borderId="0" xfId="0" applyFont="1" applyFill="1"/>
    <xf numFmtId="166" fontId="40" fillId="2" borderId="0" xfId="1" applyNumberFormat="1" applyFont="1" applyFill="1"/>
    <xf numFmtId="43" fontId="40" fillId="2" borderId="0" xfId="1" applyFont="1" applyFill="1"/>
    <xf numFmtId="164" fontId="40" fillId="2" borderId="0" xfId="0" applyNumberFormat="1" applyFont="1" applyFill="1"/>
    <xf numFmtId="0" fontId="40" fillId="2" borderId="0" xfId="1" applyNumberFormat="1" applyFont="1" applyFill="1"/>
    <xf numFmtId="164" fontId="40" fillId="0" borderId="0" xfId="0" applyNumberFormat="1" applyFont="1"/>
    <xf numFmtId="165" fontId="46" fillId="0" borderId="0" xfId="1" applyNumberFormat="1" applyFont="1"/>
    <xf numFmtId="0" fontId="40" fillId="0" borderId="0" xfId="0" applyFont="1" applyAlignment="1">
      <alignment horizontal="centerContinuous"/>
    </xf>
    <xf numFmtId="170" fontId="0" fillId="0" borderId="0" xfId="2" applyNumberFormat="1" applyFont="1" applyFill="1" applyBorder="1" applyAlignment="1">
      <alignment horizontal="right" wrapText="1"/>
    </xf>
    <xf numFmtId="0" fontId="0" fillId="0" borderId="0" xfId="0" quotePrefix="1" applyAlignment="1">
      <alignment horizontal="center"/>
    </xf>
    <xf numFmtId="170" fontId="0" fillId="0" borderId="0" xfId="2" applyNumberFormat="1" applyFont="1" applyFill="1" applyBorder="1" applyAlignment="1">
      <alignment horizontal="right"/>
    </xf>
    <xf numFmtId="0" fontId="0" fillId="0" borderId="0" xfId="2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40" fillId="0" borderId="0" xfId="0" applyFont="1" applyAlignment="1">
      <alignment horizontal="right"/>
    </xf>
    <xf numFmtId="0" fontId="39" fillId="0" borderId="3" xfId="0" applyFont="1" applyBorder="1" applyAlignment="1">
      <alignment horizontal="center"/>
    </xf>
    <xf numFmtId="165" fontId="39" fillId="0" borderId="3" xfId="1" applyNumberFormat="1" applyFont="1" applyBorder="1" applyAlignment="1">
      <alignment horizontal="center"/>
    </xf>
    <xf numFmtId="168" fontId="39" fillId="0" borderId="3" xfId="1" applyNumberFormat="1" applyFont="1" applyBorder="1" applyAlignment="1">
      <alignment horizontal="center"/>
    </xf>
    <xf numFmtId="0" fontId="40" fillId="0" borderId="3" xfId="0" applyFont="1" applyBorder="1" applyAlignment="1">
      <alignment horizontal="center"/>
    </xf>
    <xf numFmtId="168" fontId="40" fillId="0" borderId="3" xfId="1" applyNumberFormat="1" applyFont="1" applyBorder="1" applyAlignment="1">
      <alignment horizontal="center"/>
    </xf>
    <xf numFmtId="43" fontId="47" fillId="0" borderId="0" xfId="1" applyFont="1" applyBorder="1"/>
    <xf numFmtId="167" fontId="39" fillId="0" borderId="3" xfId="2" applyNumberFormat="1" applyFont="1" applyBorder="1" applyAlignment="1">
      <alignment horizontal="center"/>
    </xf>
    <xf numFmtId="0" fontId="39" fillId="0" borderId="1" xfId="0" applyFont="1" applyBorder="1" applyAlignment="1">
      <alignment horizontal="center"/>
    </xf>
    <xf numFmtId="0" fontId="39" fillId="0" borderId="10" xfId="0" applyFont="1" applyBorder="1" applyAlignment="1">
      <alignment horizontal="center"/>
    </xf>
    <xf numFmtId="165" fontId="39" fillId="0" borderId="10" xfId="1" applyNumberFormat="1" applyFont="1" applyBorder="1" applyAlignment="1">
      <alignment horizontal="center"/>
    </xf>
    <xf numFmtId="168" fontId="39" fillId="0" borderId="10" xfId="1" applyNumberFormat="1" applyFont="1" applyBorder="1" applyAlignment="1">
      <alignment horizontal="center"/>
    </xf>
    <xf numFmtId="168" fontId="40" fillId="0" borderId="10" xfId="1" applyNumberFormat="1" applyFont="1" applyBorder="1" applyAlignment="1">
      <alignment horizontal="center"/>
    </xf>
    <xf numFmtId="0" fontId="40" fillId="0" borderId="10" xfId="0" applyFont="1" applyBorder="1" applyAlignment="1">
      <alignment horizontal="center"/>
    </xf>
    <xf numFmtId="0" fontId="40" fillId="0" borderId="4" xfId="0" applyFont="1" applyBorder="1"/>
    <xf numFmtId="0" fontId="39" fillId="0" borderId="4" xfId="0" applyFont="1" applyBorder="1" applyAlignment="1">
      <alignment horizontal="center"/>
    </xf>
    <xf numFmtId="0" fontId="40" fillId="0" borderId="2" xfId="0" applyFont="1" applyBorder="1"/>
    <xf numFmtId="14" fontId="40" fillId="0" borderId="5" xfId="0" applyNumberFormat="1" applyFont="1" applyBorder="1"/>
    <xf numFmtId="167" fontId="40" fillId="0" borderId="0" xfId="2" applyNumberFormat="1" applyFont="1" applyBorder="1"/>
    <xf numFmtId="165" fontId="40" fillId="0" borderId="0" xfId="1" applyNumberFormat="1" applyFont="1" applyBorder="1"/>
    <xf numFmtId="168" fontId="40" fillId="0" borderId="0" xfId="1" applyNumberFormat="1" applyFont="1" applyBorder="1"/>
    <xf numFmtId="169" fontId="40" fillId="0" borderId="0" xfId="2" applyNumberFormat="1" applyFont="1" applyBorder="1"/>
    <xf numFmtId="168" fontId="40" fillId="0" borderId="6" xfId="1" applyNumberFormat="1" applyFont="1" applyBorder="1"/>
    <xf numFmtId="0" fontId="40" fillId="0" borderId="5" xfId="0" applyFont="1" applyBorder="1"/>
    <xf numFmtId="0" fontId="40" fillId="0" borderId="7" xfId="0" applyFont="1" applyBorder="1"/>
    <xf numFmtId="167" fontId="40" fillId="0" borderId="8" xfId="2" applyNumberFormat="1" applyFont="1" applyBorder="1"/>
    <xf numFmtId="0" fontId="40" fillId="0" borderId="8" xfId="0" applyFont="1" applyBorder="1"/>
    <xf numFmtId="165" fontId="40" fillId="0" borderId="8" xfId="1" applyNumberFormat="1" applyFont="1" applyBorder="1"/>
    <xf numFmtId="168" fontId="40" fillId="0" borderId="8" xfId="1" applyNumberFormat="1" applyFont="1" applyBorder="1"/>
    <xf numFmtId="168" fontId="38" fillId="0" borderId="0" xfId="1" applyNumberFormat="1" applyFont="1" applyAlignment="1">
      <alignment horizontal="right"/>
    </xf>
    <xf numFmtId="168" fontId="40" fillId="0" borderId="0" xfId="0" applyNumberFormat="1" applyFont="1"/>
    <xf numFmtId="0" fontId="40" fillId="0" borderId="4" xfId="0" applyFont="1" applyBorder="1" applyAlignment="1">
      <alignment horizontal="center"/>
    </xf>
    <xf numFmtId="0" fontId="40" fillId="0" borderId="11" xfId="0" applyFont="1" applyBorder="1"/>
    <xf numFmtId="0" fontId="40" fillId="0" borderId="13" xfId="0" applyFont="1" applyBorder="1"/>
    <xf numFmtId="0" fontId="40" fillId="0" borderId="13" xfId="0" applyFont="1" applyBorder="1" applyAlignment="1">
      <alignment horizontal="centerContinuous"/>
    </xf>
    <xf numFmtId="166" fontId="37" fillId="0" borderId="0" xfId="1" applyNumberFormat="1" applyFont="1" applyBorder="1"/>
    <xf numFmtId="166" fontId="40" fillId="0" borderId="0" xfId="1" applyNumberFormat="1" applyFont="1" applyBorder="1"/>
    <xf numFmtId="0" fontId="37" fillId="0" borderId="2" xfId="0" applyFont="1" applyBorder="1"/>
    <xf numFmtId="0" fontId="0" fillId="0" borderId="3" xfId="0" applyBorder="1" applyAlignment="1">
      <alignment horizontal="center"/>
    </xf>
    <xf numFmtId="0" fontId="37" fillId="0" borderId="1" xfId="0" applyFont="1" applyBorder="1"/>
    <xf numFmtId="172" fontId="40" fillId="0" borderId="0" xfId="2" applyNumberFormat="1" applyFont="1" applyBorder="1"/>
    <xf numFmtId="167" fontId="47" fillId="0" borderId="0" xfId="2" applyNumberFormat="1" applyFont="1" applyBorder="1"/>
    <xf numFmtId="0" fontId="36" fillId="0" borderId="12" xfId="0" applyFont="1" applyBorder="1" applyAlignment="1">
      <alignment horizontal="center"/>
    </xf>
    <xf numFmtId="0" fontId="36" fillId="0" borderId="12" xfId="0" applyFont="1" applyBorder="1" applyAlignment="1">
      <alignment horizontal="centerContinuous"/>
    </xf>
    <xf numFmtId="168" fontId="40" fillId="4" borderId="0" xfId="1" applyNumberFormat="1" applyFont="1" applyFill="1"/>
    <xf numFmtId="168" fontId="36" fillId="4" borderId="0" xfId="1" applyNumberFormat="1" applyFont="1" applyFill="1"/>
    <xf numFmtId="168" fontId="36" fillId="4" borderId="0" xfId="1" applyNumberFormat="1" applyFont="1" applyFill="1" applyAlignment="1">
      <alignment horizontal="center"/>
    </xf>
    <xf numFmtId="168" fontId="40" fillId="4" borderId="0" xfId="0" applyNumberFormat="1" applyFont="1" applyFill="1" applyAlignment="1">
      <alignment horizontal="center"/>
    </xf>
    <xf numFmtId="167" fontId="48" fillId="0" borderId="0" xfId="2" quotePrefix="1" applyNumberFormat="1" applyFont="1"/>
    <xf numFmtId="168" fontId="48" fillId="0" borderId="0" xfId="1" quotePrefix="1" applyNumberFormat="1" applyFont="1"/>
    <xf numFmtId="10" fontId="48" fillId="0" borderId="0" xfId="2" applyNumberFormat="1" applyFont="1"/>
    <xf numFmtId="0" fontId="48" fillId="0" borderId="0" xfId="0" applyFont="1"/>
    <xf numFmtId="0" fontId="48" fillId="0" borderId="0" xfId="0" quotePrefix="1" applyFont="1"/>
    <xf numFmtId="14" fontId="48" fillId="0" borderId="0" xfId="0" quotePrefix="1" applyNumberFormat="1" applyFont="1"/>
    <xf numFmtId="0" fontId="37" fillId="0" borderId="3" xfId="0" applyFont="1" applyBorder="1" applyAlignment="1">
      <alignment horizontal="center"/>
    </xf>
    <xf numFmtId="0" fontId="40" fillId="0" borderId="1" xfId="0" applyFont="1" applyBorder="1"/>
    <xf numFmtId="0" fontId="0" fillId="0" borderId="11" xfId="0" applyBorder="1" applyAlignment="1">
      <alignment horizontal="centerContinuous"/>
    </xf>
    <xf numFmtId="0" fontId="0" fillId="0" borderId="13" xfId="0" applyBorder="1" applyAlignment="1">
      <alignment horizontal="centerContinuous"/>
    </xf>
    <xf numFmtId="0" fontId="37" fillId="0" borderId="10" xfId="0" applyFont="1" applyBorder="1" applyAlignment="1">
      <alignment horizontal="center"/>
    </xf>
    <xf numFmtId="171" fontId="40" fillId="0" borderId="3" xfId="0" applyNumberFormat="1" applyFont="1" applyBorder="1" applyAlignment="1">
      <alignment horizontal="center"/>
    </xf>
    <xf numFmtId="9" fontId="40" fillId="0" borderId="3" xfId="0" applyNumberFormat="1" applyFont="1" applyBorder="1" applyAlignment="1">
      <alignment horizontal="center"/>
    </xf>
    <xf numFmtId="0" fontId="35" fillId="0" borderId="3" xfId="0" applyFont="1" applyBorder="1" applyAlignment="1">
      <alignment horizontal="center"/>
    </xf>
    <xf numFmtId="169" fontId="40" fillId="0" borderId="6" xfId="2" applyNumberFormat="1" applyFont="1" applyBorder="1"/>
    <xf numFmtId="169" fontId="40" fillId="0" borderId="5" xfId="2" applyNumberFormat="1" applyFont="1" applyBorder="1"/>
    <xf numFmtId="0" fontId="40" fillId="4" borderId="0" xfId="0" applyFont="1" applyFill="1"/>
    <xf numFmtId="0" fontId="35" fillId="4" borderId="0" xfId="0" applyFont="1" applyFill="1"/>
    <xf numFmtId="0" fontId="0" fillId="4" borderId="0" xfId="0" applyFill="1"/>
    <xf numFmtId="168" fontId="47" fillId="0" borderId="1" xfId="1" applyNumberFormat="1" applyFont="1" applyBorder="1"/>
    <xf numFmtId="168" fontId="47" fillId="0" borderId="4" xfId="1" applyNumberFormat="1" applyFont="1" applyBorder="1"/>
    <xf numFmtId="168" fontId="47" fillId="0" borderId="2" xfId="1" applyNumberFormat="1" applyFont="1" applyBorder="1"/>
    <xf numFmtId="167" fontId="47" fillId="0" borderId="5" xfId="2" applyNumberFormat="1" applyFont="1" applyBorder="1"/>
    <xf numFmtId="167" fontId="47" fillId="0" borderId="6" xfId="2" applyNumberFormat="1" applyFont="1" applyBorder="1"/>
    <xf numFmtId="43" fontId="47" fillId="0" borderId="5" xfId="1" applyFont="1" applyBorder="1"/>
    <xf numFmtId="43" fontId="47" fillId="0" borderId="6" xfId="1" applyFont="1" applyBorder="1"/>
    <xf numFmtId="10" fontId="47" fillId="0" borderId="7" xfId="2" applyNumberFormat="1" applyFont="1" applyBorder="1"/>
    <xf numFmtId="10" fontId="47" fillId="0" borderId="8" xfId="2" applyNumberFormat="1" applyFont="1" applyBorder="1"/>
    <xf numFmtId="10" fontId="47" fillId="0" borderId="9" xfId="2" applyNumberFormat="1" applyFont="1" applyBorder="1"/>
    <xf numFmtId="0" fontId="35" fillId="0" borderId="0" xfId="0" applyFont="1"/>
    <xf numFmtId="0" fontId="35" fillId="4" borderId="0" xfId="0" quotePrefix="1" applyFont="1" applyFill="1" applyAlignment="1">
      <alignment horizontal="right"/>
    </xf>
    <xf numFmtId="0" fontId="48" fillId="0" borderId="0" xfId="2" applyNumberFormat="1" applyFont="1"/>
    <xf numFmtId="168" fontId="0" fillId="0" borderId="0" xfId="1" applyNumberFormat="1" applyFont="1"/>
    <xf numFmtId="168" fontId="40" fillId="0" borderId="9" xfId="1" applyNumberFormat="1" applyFont="1" applyBorder="1"/>
    <xf numFmtId="169" fontId="40" fillId="0" borderId="8" xfId="2" applyNumberFormat="1" applyFont="1" applyBorder="1"/>
    <xf numFmtId="166" fontId="37" fillId="0" borderId="8" xfId="1" applyNumberFormat="1" applyFont="1" applyBorder="1"/>
    <xf numFmtId="166" fontId="40" fillId="0" borderId="8" xfId="1" applyNumberFormat="1" applyFont="1" applyBorder="1"/>
    <xf numFmtId="172" fontId="40" fillId="0" borderId="9" xfId="2" applyNumberFormat="1" applyFont="1" applyBorder="1"/>
    <xf numFmtId="173" fontId="40" fillId="0" borderId="0" xfId="2" applyNumberFormat="1" applyFont="1" applyBorder="1"/>
    <xf numFmtId="173" fontId="40" fillId="0" borderId="8" xfId="2" applyNumberFormat="1" applyFont="1" applyBorder="1"/>
    <xf numFmtId="169" fontId="40" fillId="0" borderId="7" xfId="2" applyNumberFormat="1" applyFont="1" applyBorder="1"/>
    <xf numFmtId="169" fontId="40" fillId="0" borderId="9" xfId="2" applyNumberFormat="1" applyFont="1" applyBorder="1"/>
    <xf numFmtId="0" fontId="34" fillId="0" borderId="0" xfId="0" applyFont="1"/>
    <xf numFmtId="0" fontId="40" fillId="0" borderId="0" xfId="1" applyNumberFormat="1" applyFont="1" applyAlignment="1">
      <alignment horizontal="center"/>
    </xf>
    <xf numFmtId="0" fontId="49" fillId="0" borderId="0" xfId="0" applyFont="1"/>
    <xf numFmtId="0" fontId="43" fillId="0" borderId="0" xfId="3"/>
    <xf numFmtId="14" fontId="40" fillId="0" borderId="0" xfId="0" applyNumberFormat="1" applyFont="1" applyAlignment="1">
      <alignment horizontal="center"/>
    </xf>
    <xf numFmtId="14" fontId="0" fillId="0" borderId="0" xfId="0" applyNumberFormat="1" applyAlignment="1">
      <alignment horizontal="center"/>
    </xf>
    <xf numFmtId="0" fontId="33" fillId="0" borderId="0" xfId="0" applyFont="1"/>
    <xf numFmtId="14" fontId="0" fillId="0" borderId="0" xfId="0" applyNumberFormat="1"/>
    <xf numFmtId="167" fontId="0" fillId="0" borderId="0" xfId="2" applyNumberFormat="1" applyFont="1"/>
    <xf numFmtId="0" fontId="32" fillId="0" borderId="0" xfId="0" applyFont="1" applyAlignment="1">
      <alignment horizontal="right"/>
    </xf>
    <xf numFmtId="165" fontId="0" fillId="0" borderId="0" xfId="1" applyNumberFormat="1" applyFont="1"/>
    <xf numFmtId="168" fontId="32" fillId="0" borderId="0" xfId="1" applyNumberFormat="1" applyFont="1" applyAlignment="1">
      <alignment horizontal="left"/>
    </xf>
    <xf numFmtId="0" fontId="32" fillId="0" borderId="0" xfId="0" applyFont="1" applyAlignment="1">
      <alignment horizontal="left"/>
    </xf>
    <xf numFmtId="0" fontId="0" fillId="0" borderId="0" xfId="1" applyNumberFormat="1" applyFont="1"/>
    <xf numFmtId="0" fontId="48" fillId="4" borderId="0" xfId="0" applyFont="1" applyFill="1"/>
    <xf numFmtId="170" fontId="49" fillId="0" borderId="0" xfId="2" quotePrefix="1" applyNumberFormat="1" applyFont="1" applyFill="1" applyBorder="1" applyAlignment="1">
      <alignment horizontal="center"/>
    </xf>
    <xf numFmtId="0" fontId="49" fillId="0" borderId="0" xfId="0" quotePrefix="1" applyFont="1" applyAlignment="1">
      <alignment horizontal="center"/>
    </xf>
    <xf numFmtId="0" fontId="43" fillId="0" borderId="0" xfId="3" applyAlignment="1">
      <alignment horizontal="left"/>
    </xf>
    <xf numFmtId="0" fontId="31" fillId="0" borderId="0" xfId="0" applyFont="1"/>
    <xf numFmtId="0" fontId="40" fillId="5" borderId="0" xfId="0" applyFont="1" applyFill="1"/>
    <xf numFmtId="0" fontId="30" fillId="0" borderId="0" xfId="0" applyFont="1"/>
    <xf numFmtId="0" fontId="29" fillId="0" borderId="0" xfId="1" applyNumberFormat="1" applyFont="1"/>
    <xf numFmtId="14" fontId="29" fillId="0" borderId="0" xfId="1" applyNumberFormat="1" applyFont="1"/>
    <xf numFmtId="14" fontId="40" fillId="0" borderId="0" xfId="2" applyNumberFormat="1" applyFont="1"/>
    <xf numFmtId="14" fontId="40" fillId="0" borderId="0" xfId="1" applyNumberFormat="1" applyFont="1"/>
    <xf numFmtId="168" fontId="29" fillId="0" borderId="0" xfId="1" applyNumberFormat="1" applyFont="1" applyAlignment="1">
      <alignment horizontal="right"/>
    </xf>
    <xf numFmtId="0" fontId="29" fillId="0" borderId="0" xfId="0" applyFont="1"/>
    <xf numFmtId="168" fontId="29" fillId="4" borderId="0" xfId="1" applyNumberFormat="1" applyFont="1" applyFill="1" applyAlignment="1">
      <alignment horizontal="center"/>
    </xf>
    <xf numFmtId="0" fontId="0" fillId="4" borderId="14" xfId="0" applyFill="1" applyBorder="1" applyAlignment="1">
      <alignment horizontal="center"/>
    </xf>
    <xf numFmtId="168" fontId="28" fillId="0" borderId="0" xfId="1" applyNumberFormat="1" applyFont="1"/>
    <xf numFmtId="0" fontId="28" fillId="0" borderId="0" xfId="0" applyFont="1"/>
    <xf numFmtId="0" fontId="27" fillId="0" borderId="0" xfId="0" applyFont="1"/>
    <xf numFmtId="0" fontId="26" fillId="0" borderId="0" xfId="0" applyFont="1"/>
    <xf numFmtId="168" fontId="26" fillId="0" borderId="0" xfId="1" applyNumberFormat="1" applyFont="1" applyAlignment="1">
      <alignment horizontal="right"/>
    </xf>
    <xf numFmtId="0" fontId="26" fillId="0" borderId="0" xfId="0" applyFont="1" applyAlignment="1">
      <alignment horizontal="right"/>
    </xf>
    <xf numFmtId="0" fontId="25" fillId="0" borderId="0" xfId="0" applyFont="1"/>
    <xf numFmtId="0" fontId="24" fillId="0" borderId="0" xfId="0" applyFont="1"/>
    <xf numFmtId="0" fontId="23" fillId="2" borderId="0" xfId="0" applyFont="1" applyFill="1"/>
    <xf numFmtId="0" fontId="23" fillId="0" borderId="0" xfId="0" applyFont="1"/>
    <xf numFmtId="14" fontId="23" fillId="0" borderId="0" xfId="0" applyNumberFormat="1" applyFont="1" applyAlignment="1">
      <alignment horizontal="center"/>
    </xf>
    <xf numFmtId="165" fontId="40" fillId="3" borderId="8" xfId="1" applyNumberFormat="1" applyFont="1" applyFill="1" applyBorder="1"/>
    <xf numFmtId="14" fontId="40" fillId="3" borderId="8" xfId="0" applyNumberFormat="1" applyFont="1" applyFill="1" applyBorder="1"/>
    <xf numFmtId="0" fontId="40" fillId="2" borderId="8" xfId="0" applyFont="1" applyFill="1" applyBorder="1"/>
    <xf numFmtId="166" fontId="40" fillId="2" borderId="8" xfId="1" applyNumberFormat="1" applyFont="1" applyFill="1" applyBorder="1"/>
    <xf numFmtId="43" fontId="40" fillId="2" borderId="8" xfId="1" applyFont="1" applyFill="1" applyBorder="1"/>
    <xf numFmtId="0" fontId="40" fillId="2" borderId="8" xfId="1" applyNumberFormat="1" applyFont="1" applyFill="1" applyBorder="1"/>
    <xf numFmtId="164" fontId="40" fillId="2" borderId="8" xfId="0" applyNumberFormat="1" applyFont="1" applyFill="1" applyBorder="1"/>
    <xf numFmtId="0" fontId="22" fillId="0" borderId="0" xfId="0" applyFont="1"/>
    <xf numFmtId="14" fontId="21" fillId="0" borderId="0" xfId="0" applyNumberFormat="1" applyFont="1" applyAlignment="1">
      <alignment horizontal="center"/>
    </xf>
    <xf numFmtId="0" fontId="21" fillId="0" borderId="0" xfId="0" applyFont="1"/>
    <xf numFmtId="0" fontId="20" fillId="0" borderId="0" xfId="0" applyFont="1"/>
    <xf numFmtId="0" fontId="19" fillId="0" borderId="0" xfId="0" applyFont="1"/>
    <xf numFmtId="0" fontId="48" fillId="0" borderId="0" xfId="0" applyFont="1" applyAlignment="1">
      <alignment horizontal="left"/>
    </xf>
    <xf numFmtId="14" fontId="23" fillId="0" borderId="0" xfId="0" applyNumberFormat="1" applyFont="1"/>
    <xf numFmtId="0" fontId="18" fillId="0" borderId="0" xfId="0" applyFont="1"/>
    <xf numFmtId="0" fontId="17" fillId="0" borderId="0" xfId="0" applyFont="1"/>
    <xf numFmtId="165" fontId="22" fillId="0" borderId="0" xfId="1" applyNumberFormat="1" applyFont="1" applyBorder="1"/>
    <xf numFmtId="165" fontId="40" fillId="0" borderId="0" xfId="1" applyNumberFormat="1" applyFont="1" applyBorder="1" applyAlignment="1">
      <alignment horizontal="center"/>
    </xf>
    <xf numFmtId="14" fontId="40" fillId="0" borderId="5" xfId="2" applyNumberFormat="1" applyFont="1" applyBorder="1"/>
    <xf numFmtId="167" fontId="40" fillId="0" borderId="5" xfId="2" applyNumberFormat="1" applyFont="1" applyBorder="1"/>
    <xf numFmtId="167" fontId="17" fillId="0" borderId="5" xfId="2" applyNumberFormat="1" applyFont="1" applyBorder="1" applyAlignment="1">
      <alignment horizontal="center"/>
    </xf>
    <xf numFmtId="168" fontId="40" fillId="0" borderId="5" xfId="1" applyNumberFormat="1" applyFont="1" applyBorder="1"/>
    <xf numFmtId="14" fontId="40" fillId="0" borderId="6" xfId="2" applyNumberFormat="1" applyFont="1" applyBorder="1"/>
    <xf numFmtId="167" fontId="40" fillId="0" borderId="6" xfId="2" applyNumberFormat="1" applyFont="1" applyBorder="1"/>
    <xf numFmtId="167" fontId="40" fillId="0" borderId="6" xfId="2" applyNumberFormat="1" applyFont="1" applyBorder="1" applyAlignment="1">
      <alignment horizontal="center"/>
    </xf>
    <xf numFmtId="0" fontId="16" fillId="0" borderId="0" xfId="0" applyFont="1" applyAlignment="1">
      <alignment horizontal="center"/>
    </xf>
    <xf numFmtId="167" fontId="16" fillId="0" borderId="0" xfId="2" applyNumberFormat="1" applyFont="1" applyAlignment="1">
      <alignment horizontal="center"/>
    </xf>
    <xf numFmtId="0" fontId="47" fillId="0" borderId="0" xfId="0" applyFont="1"/>
    <xf numFmtId="165" fontId="47" fillId="0" borderId="0" xfId="1" applyNumberFormat="1" applyFont="1" applyBorder="1"/>
    <xf numFmtId="168" fontId="47" fillId="0" borderId="0" xfId="1" applyNumberFormat="1" applyFont="1" applyBorder="1"/>
    <xf numFmtId="169" fontId="47" fillId="0" borderId="0" xfId="2" applyNumberFormat="1" applyFont="1" applyBorder="1"/>
    <xf numFmtId="173" fontId="47" fillId="0" borderId="0" xfId="2" applyNumberFormat="1" applyFont="1" applyBorder="1"/>
    <xf numFmtId="166" fontId="47" fillId="0" borderId="0" xfId="1" applyNumberFormat="1" applyFont="1" applyBorder="1"/>
    <xf numFmtId="172" fontId="47" fillId="0" borderId="0" xfId="2" applyNumberFormat="1" applyFont="1" applyBorder="1"/>
    <xf numFmtId="0" fontId="40" fillId="0" borderId="2" xfId="0" applyFont="1" applyBorder="1" applyAlignment="1">
      <alignment horizontal="center"/>
    </xf>
    <xf numFmtId="0" fontId="40" fillId="0" borderId="6" xfId="0" applyFont="1" applyBorder="1" applyAlignment="1">
      <alignment horizontal="center"/>
    </xf>
    <xf numFmtId="168" fontId="0" fillId="0" borderId="6" xfId="1" applyNumberFormat="1" applyFont="1" applyBorder="1"/>
    <xf numFmtId="174" fontId="40" fillId="0" borderId="0" xfId="1" applyNumberFormat="1" applyFont="1"/>
    <xf numFmtId="0" fontId="15" fillId="0" borderId="0" xfId="0" applyFont="1"/>
    <xf numFmtId="165" fontId="15" fillId="0" borderId="0" xfId="1" applyNumberFormat="1" applyFont="1"/>
    <xf numFmtId="168" fontId="15" fillId="0" borderId="0" xfId="1" applyNumberFormat="1" applyFont="1"/>
    <xf numFmtId="0" fontId="15" fillId="4" borderId="0" xfId="0" applyFont="1" applyFill="1"/>
    <xf numFmtId="165" fontId="15" fillId="4" borderId="0" xfId="1" applyNumberFormat="1" applyFont="1" applyFill="1"/>
    <xf numFmtId="0" fontId="40" fillId="4" borderId="0" xfId="1" applyNumberFormat="1" applyFont="1" applyFill="1"/>
    <xf numFmtId="0" fontId="14" fillId="4" borderId="0" xfId="0" applyFont="1" applyFill="1"/>
    <xf numFmtId="168" fontId="14" fillId="0" borderId="0" xfId="1" applyNumberFormat="1" applyFont="1"/>
    <xf numFmtId="0" fontId="14" fillId="0" borderId="0" xfId="0" applyFont="1"/>
    <xf numFmtId="0" fontId="40" fillId="0" borderId="0" xfId="1" applyNumberFormat="1" applyFont="1" applyFill="1"/>
    <xf numFmtId="168" fontId="13" fillId="4" borderId="0" xfId="1" applyNumberFormat="1" applyFont="1" applyFill="1"/>
    <xf numFmtId="0" fontId="13" fillId="4" borderId="0" xfId="0" applyFont="1" applyFill="1"/>
    <xf numFmtId="9" fontId="13" fillId="0" borderId="0" xfId="0" quotePrefix="1" applyNumberFormat="1" applyFont="1"/>
    <xf numFmtId="0" fontId="40" fillId="6" borderId="0" xfId="0" applyFont="1" applyFill="1"/>
    <xf numFmtId="0" fontId="48" fillId="6" borderId="0" xfId="0" applyFont="1" applyFill="1"/>
    <xf numFmtId="0" fontId="13" fillId="0" borderId="0" xfId="0" applyFont="1"/>
    <xf numFmtId="168" fontId="12" fillId="0" borderId="0" xfId="1" applyNumberFormat="1" applyFont="1"/>
    <xf numFmtId="14" fontId="11" fillId="0" borderId="0" xfId="1" applyNumberFormat="1" applyFont="1" applyBorder="1"/>
    <xf numFmtId="0" fontId="48" fillId="7" borderId="0" xfId="0" applyFont="1" applyFill="1"/>
    <xf numFmtId="0" fontId="10" fillId="0" borderId="0" xfId="0" applyFont="1"/>
    <xf numFmtId="0" fontId="9" fillId="0" borderId="0" xfId="0" applyFont="1"/>
    <xf numFmtId="166" fontId="8" fillId="0" borderId="0" xfId="1" applyNumberFormat="1" applyFont="1"/>
    <xf numFmtId="0" fontId="7" fillId="0" borderId="0" xfId="0" applyFont="1"/>
    <xf numFmtId="0" fontId="6" fillId="0" borderId="0" xfId="0" applyFont="1"/>
    <xf numFmtId="14" fontId="5" fillId="0" borderId="0" xfId="1" applyNumberFormat="1" applyFont="1" applyBorder="1"/>
    <xf numFmtId="0" fontId="4" fillId="0" borderId="0" xfId="0" applyFont="1"/>
    <xf numFmtId="0" fontId="4" fillId="0" borderId="3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174" fontId="40" fillId="0" borderId="0" xfId="1" applyNumberFormat="1" applyFont="1" applyBorder="1"/>
    <xf numFmtId="174" fontId="40" fillId="0" borderId="8" xfId="1" applyNumberFormat="1" applyFont="1" applyBorder="1"/>
    <xf numFmtId="0" fontId="40" fillId="0" borderId="0" xfId="2" applyNumberFormat="1" applyFont="1" applyBorder="1"/>
    <xf numFmtId="0" fontId="40" fillId="0" borderId="8" xfId="2" applyNumberFormat="1" applyFont="1" applyBorder="1"/>
    <xf numFmtId="0" fontId="50" fillId="0" borderId="0" xfId="0" applyFont="1" applyAlignment="1">
      <alignment horizontal="center"/>
    </xf>
    <xf numFmtId="168" fontId="40" fillId="0" borderId="1" xfId="1" applyNumberFormat="1" applyFont="1" applyBorder="1"/>
    <xf numFmtId="174" fontId="40" fillId="0" borderId="4" xfId="1" applyNumberFormat="1" applyFont="1" applyBorder="1"/>
    <xf numFmtId="167" fontId="40" fillId="0" borderId="2" xfId="2" applyNumberFormat="1" applyFont="1" applyBorder="1"/>
    <xf numFmtId="168" fontId="40" fillId="0" borderId="7" xfId="1" applyNumberFormat="1" applyFont="1" applyBorder="1"/>
    <xf numFmtId="167" fontId="40" fillId="0" borderId="9" xfId="2" applyNumberFormat="1" applyFont="1" applyBorder="1"/>
    <xf numFmtId="0" fontId="51" fillId="0" borderId="0" xfId="0" applyFont="1"/>
    <xf numFmtId="165" fontId="47" fillId="0" borderId="14" xfId="1" applyNumberFormat="1" applyFont="1" applyBorder="1" applyAlignment="1">
      <alignment horizontal="center"/>
    </xf>
    <xf numFmtId="168" fontId="47" fillId="0" borderId="14" xfId="1" applyNumberFormat="1" applyFont="1" applyBorder="1" applyAlignment="1">
      <alignment horizontal="center"/>
    </xf>
    <xf numFmtId="0" fontId="3" fillId="0" borderId="0" xfId="0" applyFont="1"/>
    <xf numFmtId="166" fontId="2" fillId="0" borderId="0" xfId="1" applyNumberFormat="1" applyFont="1"/>
    <xf numFmtId="0" fontId="1" fillId="0" borderId="0" xfId="0" applyFont="1"/>
  </cellXfs>
  <cellStyles count="4">
    <cellStyle name="Comma" xfId="1" builtinId="3"/>
    <cellStyle name="Hyperlink" xfId="3" builtinId="8"/>
    <cellStyle name="Normal" xfId="0" builtinId="0"/>
    <cellStyle name="Percent" xfId="2" builtinId="5"/>
  </cellStyles>
  <dxfs count="2">
    <dxf>
      <fill>
        <patternFill>
          <bgColor rgb="FFFF0000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bls.gov/schedule/news_release/cpi.htm" TargetMode="External"/><Relationship Id="rId2" Type="http://schemas.openxmlformats.org/officeDocument/2006/relationships/hyperlink" Target="https://data.bls.gov/timeseries/CUUR0000SA0" TargetMode="External"/><Relationship Id="rId1" Type="http://schemas.openxmlformats.org/officeDocument/2006/relationships/hyperlink" Target="https://www.wsj.com/market-data/bonds/tips" TargetMode="External"/><Relationship Id="rId6" Type="http://schemas.openxmlformats.org/officeDocument/2006/relationships/hyperlink" Target="https://www.bogleheads.org/forum/viewtopic.php?t=104845" TargetMode="External"/><Relationship Id="rId5" Type="http://schemas.openxmlformats.org/officeDocument/2006/relationships/hyperlink" Target="https://eyebonds.info/tips/tipslist_iss.html" TargetMode="External"/><Relationship Id="rId4" Type="http://schemas.openxmlformats.org/officeDocument/2006/relationships/hyperlink" Target="https://eyebonds.info/tips/tipslist_iss.html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bogleheads.org/forum/viewtopic.php?p=817566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E59094-D139-461A-92B3-2541232224AF}">
  <dimension ref="A1:L70"/>
  <sheetViews>
    <sheetView zoomScale="90" zoomScaleNormal="90" workbookViewId="0">
      <pane ySplit="2" topLeftCell="A3" activePane="bottomLeft" state="frozen"/>
      <selection pane="bottomLeft" activeCell="C2" sqref="C2"/>
    </sheetView>
  </sheetViews>
  <sheetFormatPr defaultColWidth="8.81640625" defaultRowHeight="14.5" x14ac:dyDescent="0.35"/>
  <cols>
    <col min="1" max="1" width="15.54296875" style="2" customWidth="1"/>
    <col min="2" max="2" width="11.6328125" style="2" bestFit="1" customWidth="1"/>
    <col min="3" max="3" width="11.453125" style="2" customWidth="1"/>
    <col min="4" max="6" width="8.81640625" style="2"/>
    <col min="7" max="7" width="8.81640625" style="20"/>
    <col min="8" max="9" width="8.81640625" style="2"/>
    <col min="10" max="11" width="12" style="7" bestFit="1" customWidth="1"/>
    <col min="12" max="16384" width="8.81640625" style="2"/>
  </cols>
  <sheetData>
    <row r="1" spans="1:11" s="11" customFormat="1" x14ac:dyDescent="0.35">
      <c r="A1" s="11">
        <v>1</v>
      </c>
      <c r="B1" s="11">
        <f>A1+1</f>
        <v>2</v>
      </c>
      <c r="C1" s="11">
        <f t="shared" ref="C1:K1" si="0">B1+1</f>
        <v>3</v>
      </c>
      <c r="D1" s="11">
        <f t="shared" si="0"/>
        <v>4</v>
      </c>
      <c r="E1" s="11">
        <f t="shared" si="0"/>
        <v>5</v>
      </c>
      <c r="F1" s="11">
        <f t="shared" si="0"/>
        <v>6</v>
      </c>
      <c r="G1" s="12">
        <f t="shared" si="0"/>
        <v>7</v>
      </c>
      <c r="H1" s="11">
        <f t="shared" si="0"/>
        <v>8</v>
      </c>
      <c r="I1" s="11">
        <f t="shared" si="0"/>
        <v>9</v>
      </c>
      <c r="J1" s="11">
        <f t="shared" si="0"/>
        <v>10</v>
      </c>
      <c r="K1" s="11">
        <f t="shared" si="0"/>
        <v>11</v>
      </c>
    </row>
    <row r="2" spans="1:11" s="11" customFormat="1" x14ac:dyDescent="0.35">
      <c r="G2" s="12"/>
      <c r="H2" s="11" t="s">
        <v>0</v>
      </c>
      <c r="J2" s="9" t="s">
        <v>1</v>
      </c>
      <c r="K2" s="9" t="s">
        <v>2</v>
      </c>
    </row>
    <row r="3" spans="1:11" x14ac:dyDescent="0.35">
      <c r="A3" s="13">
        <f>B3+D3/100</f>
        <v>46037.006249999999</v>
      </c>
      <c r="B3" s="14">
        <f>DATE(VALUE(LEFT(TRIM($C3),4)),INT((SEARCH(TRIM(MID(TRIM($C3),5,4)),"JanFebMarAprMayJunJulAugSepOctNovDec")-1)/3)+1,VALUE(RIGHT(TRIM($C3),2)))</f>
        <v>46037</v>
      </c>
      <c r="C3" s="137" t="s">
        <v>3</v>
      </c>
      <c r="D3" s="16">
        <v>0.625</v>
      </c>
      <c r="E3" s="17">
        <v>99.23</v>
      </c>
      <c r="F3" s="17">
        <v>99.24</v>
      </c>
      <c r="G3" s="18" t="s">
        <v>276</v>
      </c>
      <c r="H3" s="16">
        <v>2.089</v>
      </c>
      <c r="I3" s="15">
        <v>1364</v>
      </c>
      <c r="J3" s="13">
        <f>INT(E3)+(100*MOD(E3,1))/32</f>
        <v>99.718750000000014</v>
      </c>
      <c r="K3" s="13">
        <f>INT(F3)+(100*MOD(F3,1))/32</f>
        <v>99.749999999999986</v>
      </c>
    </row>
    <row r="4" spans="1:11" x14ac:dyDescent="0.35">
      <c r="A4" s="13">
        <f t="shared" ref="A4:A67" si="1">B4+D4/100</f>
        <v>46037.02</v>
      </c>
      <c r="B4" s="14">
        <f t="shared" ref="B4:B67" si="2">DATE(VALUE(LEFT(TRIM($C4),4)),INT((SEARCH(TRIM(MID(TRIM($C4),5,4)),"JanFebMarAprMayJunJulAugSepOctNovDec")-1)/3)+1,VALUE(RIGHT(TRIM($C4),2)))</f>
        <v>46037</v>
      </c>
      <c r="C4" s="15" t="s">
        <v>3</v>
      </c>
      <c r="D4" s="16">
        <v>2</v>
      </c>
      <c r="E4" s="17">
        <v>99.31</v>
      </c>
      <c r="F4" s="17">
        <v>99.31</v>
      </c>
      <c r="G4" s="18">
        <v>-1</v>
      </c>
      <c r="H4" s="16">
        <v>2.1920000000000002</v>
      </c>
      <c r="I4" s="15">
        <v>1633</v>
      </c>
      <c r="J4" s="13">
        <f t="shared" ref="J4:K43" si="3">INT(E4)+(100*MOD(E4,1))/32</f>
        <v>99.96875</v>
      </c>
      <c r="K4" s="13">
        <f t="shared" si="3"/>
        <v>99.96875</v>
      </c>
    </row>
    <row r="5" spans="1:11" x14ac:dyDescent="0.35">
      <c r="A5" s="13">
        <f t="shared" si="1"/>
        <v>46127.001250000001</v>
      </c>
      <c r="B5" s="14">
        <f t="shared" si="2"/>
        <v>46127</v>
      </c>
      <c r="C5" s="15" t="s">
        <v>4</v>
      </c>
      <c r="D5" s="16">
        <v>0.125</v>
      </c>
      <c r="E5" s="17">
        <v>99.1</v>
      </c>
      <c r="F5" s="17">
        <v>99.1</v>
      </c>
      <c r="G5" s="18">
        <v>-1</v>
      </c>
      <c r="H5" s="16">
        <v>1.724</v>
      </c>
      <c r="I5" s="15">
        <v>1236</v>
      </c>
      <c r="J5" s="13">
        <f t="shared" si="3"/>
        <v>99.312499999999986</v>
      </c>
      <c r="K5" s="13">
        <f t="shared" si="3"/>
        <v>99.312499999999986</v>
      </c>
    </row>
    <row r="6" spans="1:11" x14ac:dyDescent="0.35">
      <c r="A6" s="13">
        <f t="shared" si="1"/>
        <v>46218.001250000001</v>
      </c>
      <c r="B6" s="14">
        <f t="shared" si="2"/>
        <v>46218</v>
      </c>
      <c r="C6" s="15" t="s">
        <v>5</v>
      </c>
      <c r="D6" s="16">
        <v>0.125</v>
      </c>
      <c r="E6" s="17">
        <v>99.13</v>
      </c>
      <c r="F6" s="17">
        <v>99.14</v>
      </c>
      <c r="G6" s="18">
        <v>-1</v>
      </c>
      <c r="H6" s="16">
        <v>0.97399999999999998</v>
      </c>
      <c r="I6" s="15">
        <v>1352</v>
      </c>
      <c r="J6" s="13">
        <f t="shared" si="3"/>
        <v>99.406249999999986</v>
      </c>
      <c r="K6" s="13">
        <f t="shared" si="3"/>
        <v>99.4375</v>
      </c>
    </row>
    <row r="7" spans="1:11" x14ac:dyDescent="0.35">
      <c r="A7" s="13">
        <f t="shared" si="1"/>
        <v>46310.001250000001</v>
      </c>
      <c r="B7" s="14">
        <f t="shared" si="2"/>
        <v>46310</v>
      </c>
      <c r="C7" s="15" t="s">
        <v>6</v>
      </c>
      <c r="D7" s="16">
        <v>0.125</v>
      </c>
      <c r="E7" s="17">
        <v>99.06</v>
      </c>
      <c r="F7" s="17">
        <v>99.06</v>
      </c>
      <c r="G7" s="18" t="s">
        <v>276</v>
      </c>
      <c r="H7" s="16">
        <v>1.004</v>
      </c>
      <c r="I7" s="15">
        <v>1186</v>
      </c>
      <c r="J7" s="13">
        <f t="shared" si="3"/>
        <v>99.1875</v>
      </c>
      <c r="K7" s="13">
        <f t="shared" si="3"/>
        <v>99.1875</v>
      </c>
    </row>
    <row r="8" spans="1:11" x14ac:dyDescent="0.35">
      <c r="A8" s="13">
        <f t="shared" si="1"/>
        <v>46402.003750000003</v>
      </c>
      <c r="B8" s="14">
        <f t="shared" si="2"/>
        <v>46402</v>
      </c>
      <c r="C8" s="15" t="s">
        <v>7</v>
      </c>
      <c r="D8" s="16">
        <v>0.375</v>
      </c>
      <c r="E8" s="17">
        <v>98.29</v>
      </c>
      <c r="F8" s="17">
        <v>98.29</v>
      </c>
      <c r="G8" s="18">
        <v>-1</v>
      </c>
      <c r="H8" s="16">
        <v>1.304</v>
      </c>
      <c r="I8" s="15">
        <v>1341</v>
      </c>
      <c r="J8" s="13">
        <f t="shared" si="3"/>
        <v>98.906250000000014</v>
      </c>
      <c r="K8" s="13">
        <f t="shared" si="3"/>
        <v>98.906250000000014</v>
      </c>
    </row>
    <row r="9" spans="1:11" x14ac:dyDescent="0.35">
      <c r="A9" s="13">
        <f t="shared" si="1"/>
        <v>46402.02375</v>
      </c>
      <c r="B9" s="14">
        <f t="shared" si="2"/>
        <v>46402</v>
      </c>
      <c r="C9" s="15" t="s">
        <v>7</v>
      </c>
      <c r="D9" s="16">
        <v>2.375</v>
      </c>
      <c r="E9" s="17">
        <v>101.07</v>
      </c>
      <c r="F9" s="17">
        <v>101.08</v>
      </c>
      <c r="G9" s="18">
        <v>-1</v>
      </c>
      <c r="H9" s="16">
        <v>1.3069999999999999</v>
      </c>
      <c r="I9" s="15">
        <v>1607</v>
      </c>
      <c r="J9" s="13">
        <f t="shared" si="3"/>
        <v>101.21874999999997</v>
      </c>
      <c r="K9" s="13">
        <f t="shared" si="3"/>
        <v>101.25</v>
      </c>
    </row>
    <row r="10" spans="1:11" x14ac:dyDescent="0.35">
      <c r="A10" s="13">
        <f t="shared" si="1"/>
        <v>46492.001250000001</v>
      </c>
      <c r="B10" s="14">
        <f t="shared" si="2"/>
        <v>46492</v>
      </c>
      <c r="C10" s="15" t="s">
        <v>8</v>
      </c>
      <c r="D10" s="16">
        <v>0.125</v>
      </c>
      <c r="E10" s="17">
        <v>98.08</v>
      </c>
      <c r="F10" s="17">
        <v>98.09</v>
      </c>
      <c r="G10" s="18">
        <v>-1</v>
      </c>
      <c r="H10" s="16">
        <v>1.345</v>
      </c>
      <c r="I10" s="15">
        <v>1148</v>
      </c>
      <c r="J10" s="13">
        <f t="shared" si="3"/>
        <v>98.25</v>
      </c>
      <c r="K10" s="13">
        <f t="shared" si="3"/>
        <v>98.281250000000014</v>
      </c>
    </row>
    <row r="11" spans="1:11" x14ac:dyDescent="0.35">
      <c r="A11" s="13">
        <f t="shared" si="1"/>
        <v>46583.003750000003</v>
      </c>
      <c r="B11" s="14">
        <f t="shared" si="2"/>
        <v>46583</v>
      </c>
      <c r="C11" s="15" t="s">
        <v>9</v>
      </c>
      <c r="D11" s="16">
        <v>0.375</v>
      </c>
      <c r="E11" s="17">
        <v>98.31</v>
      </c>
      <c r="F11" s="17">
        <v>98.32</v>
      </c>
      <c r="G11" s="18">
        <v>-1</v>
      </c>
      <c r="H11" s="16">
        <v>0.97799999999999998</v>
      </c>
      <c r="I11" s="15">
        <v>1325</v>
      </c>
      <c r="J11" s="13">
        <f t="shared" si="3"/>
        <v>98.96875</v>
      </c>
      <c r="K11" s="13">
        <f t="shared" si="3"/>
        <v>98.999999999999972</v>
      </c>
    </row>
    <row r="12" spans="1:11" x14ac:dyDescent="0.35">
      <c r="A12" s="13">
        <f t="shared" si="1"/>
        <v>46675.016250000001</v>
      </c>
      <c r="B12" s="14">
        <f t="shared" si="2"/>
        <v>46675</v>
      </c>
      <c r="C12" s="15" t="s">
        <v>10</v>
      </c>
      <c r="D12" s="16">
        <v>1.625</v>
      </c>
      <c r="E12" s="17">
        <v>101.03</v>
      </c>
      <c r="F12" s="17">
        <v>101.04</v>
      </c>
      <c r="G12" s="18">
        <v>-2</v>
      </c>
      <c r="H12" s="16">
        <v>1.0309999999999999</v>
      </c>
      <c r="I12" s="15">
        <v>1094</v>
      </c>
      <c r="J12" s="13">
        <f t="shared" si="3"/>
        <v>101.09375</v>
      </c>
      <c r="K12" s="13">
        <f t="shared" si="3"/>
        <v>101.12500000000001</v>
      </c>
    </row>
    <row r="13" spans="1:11" x14ac:dyDescent="0.35">
      <c r="A13" s="13">
        <f t="shared" si="1"/>
        <v>46767.004999999997</v>
      </c>
      <c r="B13" s="14">
        <f t="shared" si="2"/>
        <v>46767</v>
      </c>
      <c r="C13" s="15" t="s">
        <v>11</v>
      </c>
      <c r="D13" s="16">
        <v>0.5</v>
      </c>
      <c r="E13" s="17">
        <v>98.13</v>
      </c>
      <c r="F13" s="17">
        <v>98.14</v>
      </c>
      <c r="G13" s="18">
        <v>-2</v>
      </c>
      <c r="H13" s="16">
        <v>1.232</v>
      </c>
      <c r="I13" s="15">
        <v>1314</v>
      </c>
      <c r="J13" s="13">
        <f t="shared" si="3"/>
        <v>98.406249999999986</v>
      </c>
      <c r="K13" s="13">
        <f t="shared" si="3"/>
        <v>98.4375</v>
      </c>
    </row>
    <row r="14" spans="1:11" x14ac:dyDescent="0.35">
      <c r="A14" s="13">
        <f t="shared" si="1"/>
        <v>46767.017500000002</v>
      </c>
      <c r="B14" s="14">
        <f t="shared" si="2"/>
        <v>46767</v>
      </c>
      <c r="C14" s="15" t="s">
        <v>11</v>
      </c>
      <c r="D14" s="16">
        <v>1.75</v>
      </c>
      <c r="E14" s="17">
        <v>101.03</v>
      </c>
      <c r="F14" s="17">
        <v>101.04</v>
      </c>
      <c r="G14" s="18">
        <v>-2</v>
      </c>
      <c r="H14" s="16">
        <v>1.226</v>
      </c>
      <c r="I14" s="15">
        <v>1547</v>
      </c>
      <c r="J14" s="13">
        <f t="shared" si="3"/>
        <v>101.09375</v>
      </c>
      <c r="K14" s="13">
        <f t="shared" si="3"/>
        <v>101.12500000000001</v>
      </c>
    </row>
    <row r="15" spans="1:11" x14ac:dyDescent="0.35">
      <c r="A15" s="13">
        <f t="shared" si="1"/>
        <v>46858.036249999997</v>
      </c>
      <c r="B15" s="14">
        <f t="shared" si="2"/>
        <v>46858</v>
      </c>
      <c r="C15" s="15" t="s">
        <v>12</v>
      </c>
      <c r="D15" s="16">
        <v>3.625</v>
      </c>
      <c r="E15" s="17">
        <v>105.19</v>
      </c>
      <c r="F15" s="17">
        <v>105.2</v>
      </c>
      <c r="G15" s="18">
        <v>-3</v>
      </c>
      <c r="H15" s="16">
        <v>1.264</v>
      </c>
      <c r="I15" s="15">
        <v>2004</v>
      </c>
      <c r="J15" s="13">
        <f t="shared" si="3"/>
        <v>105.59375</v>
      </c>
      <c r="K15" s="13">
        <f t="shared" si="3"/>
        <v>105.62500000000001</v>
      </c>
    </row>
    <row r="16" spans="1:11" x14ac:dyDescent="0.35">
      <c r="A16" s="13">
        <f t="shared" si="1"/>
        <v>46858.012499999997</v>
      </c>
      <c r="B16" s="14">
        <f t="shared" si="2"/>
        <v>46858</v>
      </c>
      <c r="C16" s="15" t="s">
        <v>12</v>
      </c>
      <c r="D16" s="16">
        <v>1.25</v>
      </c>
      <c r="E16" s="17">
        <v>99.29</v>
      </c>
      <c r="F16" s="17">
        <v>99.3</v>
      </c>
      <c r="G16" s="18">
        <v>-2</v>
      </c>
      <c r="H16" s="16">
        <v>1.278</v>
      </c>
      <c r="I16" s="15">
        <v>1080</v>
      </c>
      <c r="J16" s="13">
        <f t="shared" si="3"/>
        <v>99.906250000000014</v>
      </c>
      <c r="K16" s="13">
        <f t="shared" si="3"/>
        <v>99.937499999999986</v>
      </c>
    </row>
    <row r="17" spans="1:11" x14ac:dyDescent="0.35">
      <c r="A17" s="13">
        <f t="shared" si="1"/>
        <v>46949.0075</v>
      </c>
      <c r="B17" s="14">
        <f t="shared" si="2"/>
        <v>46949</v>
      </c>
      <c r="C17" s="15" t="s">
        <v>13</v>
      </c>
      <c r="D17" s="16">
        <v>0.75</v>
      </c>
      <c r="E17" s="17">
        <v>99.02</v>
      </c>
      <c r="F17" s="17">
        <v>99.04</v>
      </c>
      <c r="G17" s="18">
        <v>-2</v>
      </c>
      <c r="H17" s="16">
        <v>1.087</v>
      </c>
      <c r="I17" s="15">
        <v>1291</v>
      </c>
      <c r="J17" s="13">
        <f t="shared" si="3"/>
        <v>99.062499999999986</v>
      </c>
      <c r="K17" s="13">
        <f t="shared" si="3"/>
        <v>99.125000000000014</v>
      </c>
    </row>
    <row r="18" spans="1:11" x14ac:dyDescent="0.35">
      <c r="A18" s="13">
        <f t="shared" si="1"/>
        <v>47041.02375</v>
      </c>
      <c r="B18" s="14">
        <f t="shared" si="2"/>
        <v>47041</v>
      </c>
      <c r="C18" s="15" t="s">
        <v>14</v>
      </c>
      <c r="D18" s="16">
        <v>2.375</v>
      </c>
      <c r="E18" s="17">
        <v>103.16</v>
      </c>
      <c r="F18" s="17">
        <v>103.17</v>
      </c>
      <c r="G18" s="18">
        <v>-2</v>
      </c>
      <c r="H18" s="16">
        <v>1.141</v>
      </c>
      <c r="I18" s="15">
        <v>1058</v>
      </c>
      <c r="J18" s="13">
        <f t="shared" si="3"/>
        <v>103.49999999999999</v>
      </c>
      <c r="K18" s="13">
        <f t="shared" si="3"/>
        <v>103.53125</v>
      </c>
    </row>
    <row r="19" spans="1:11" x14ac:dyDescent="0.35">
      <c r="A19" s="13">
        <f t="shared" si="1"/>
        <v>47133.008750000001</v>
      </c>
      <c r="B19" s="14">
        <f t="shared" si="2"/>
        <v>47133</v>
      </c>
      <c r="C19" s="15" t="s">
        <v>15</v>
      </c>
      <c r="D19" s="16">
        <v>0.875</v>
      </c>
      <c r="E19" s="17">
        <v>98.26</v>
      </c>
      <c r="F19" s="17">
        <v>98.28</v>
      </c>
      <c r="G19" s="18">
        <v>-2</v>
      </c>
      <c r="H19" s="16">
        <v>1.242</v>
      </c>
      <c r="I19" s="15">
        <v>1283</v>
      </c>
      <c r="J19" s="13">
        <f t="shared" si="3"/>
        <v>98.812500000000014</v>
      </c>
      <c r="K19" s="13">
        <f t="shared" si="3"/>
        <v>98.875</v>
      </c>
    </row>
    <row r="20" spans="1:11" x14ac:dyDescent="0.35">
      <c r="A20" s="13">
        <f t="shared" si="1"/>
        <v>47133.025000000001</v>
      </c>
      <c r="B20" s="14">
        <f t="shared" si="2"/>
        <v>47133</v>
      </c>
      <c r="C20" s="15" t="s">
        <v>15</v>
      </c>
      <c r="D20" s="16">
        <v>2.5</v>
      </c>
      <c r="E20" s="17">
        <v>103.28</v>
      </c>
      <c r="F20" s="17">
        <v>103.29</v>
      </c>
      <c r="G20" s="18">
        <v>-2</v>
      </c>
      <c r="H20" s="16">
        <v>1.2390000000000001</v>
      </c>
      <c r="I20" s="15">
        <v>1509</v>
      </c>
      <c r="J20" s="13">
        <f t="shared" si="3"/>
        <v>103.875</v>
      </c>
      <c r="K20" s="13">
        <f t="shared" si="3"/>
        <v>103.90625000000001</v>
      </c>
    </row>
    <row r="21" spans="1:11" x14ac:dyDescent="0.35">
      <c r="A21" s="13">
        <f t="shared" si="1"/>
        <v>47223.03875</v>
      </c>
      <c r="B21" s="14">
        <f t="shared" si="2"/>
        <v>47223</v>
      </c>
      <c r="C21" s="15" t="s">
        <v>16</v>
      </c>
      <c r="D21" s="16">
        <v>3.875</v>
      </c>
      <c r="E21" s="17">
        <v>108.17</v>
      </c>
      <c r="F21" s="17">
        <v>108.19</v>
      </c>
      <c r="G21" s="18">
        <v>-3</v>
      </c>
      <c r="H21" s="16">
        <v>1.306</v>
      </c>
      <c r="I21" s="15">
        <v>1971</v>
      </c>
      <c r="J21" s="13">
        <f t="shared" si="3"/>
        <v>108.53125</v>
      </c>
      <c r="K21" s="13">
        <f t="shared" si="3"/>
        <v>108.59375</v>
      </c>
    </row>
    <row r="22" spans="1:11" x14ac:dyDescent="0.35">
      <c r="A22" s="13">
        <f t="shared" si="1"/>
        <v>47223.021249999998</v>
      </c>
      <c r="B22" s="14">
        <f t="shared" si="2"/>
        <v>47223</v>
      </c>
      <c r="C22" s="15" t="s">
        <v>16</v>
      </c>
      <c r="D22" s="16">
        <v>2.125</v>
      </c>
      <c r="E22" s="17">
        <v>102.21</v>
      </c>
      <c r="F22" s="17">
        <v>102.23</v>
      </c>
      <c r="G22" s="18">
        <v>-2</v>
      </c>
      <c r="H22" s="16">
        <v>1.3149999999999999</v>
      </c>
      <c r="I22" s="15">
        <v>1048</v>
      </c>
      <c r="J22" s="13">
        <f t="shared" si="3"/>
        <v>102.65624999999999</v>
      </c>
      <c r="K22" s="13">
        <f t="shared" si="3"/>
        <v>102.71875000000001</v>
      </c>
    </row>
    <row r="23" spans="1:11" x14ac:dyDescent="0.35">
      <c r="A23" s="13">
        <f t="shared" si="1"/>
        <v>47314.002500000002</v>
      </c>
      <c r="B23" s="14">
        <f t="shared" si="2"/>
        <v>47314</v>
      </c>
      <c r="C23" s="15" t="s">
        <v>17</v>
      </c>
      <c r="D23" s="16">
        <v>0.25</v>
      </c>
      <c r="E23" s="17">
        <v>96.21</v>
      </c>
      <c r="F23" s="17">
        <v>96.23</v>
      </c>
      <c r="G23" s="18">
        <v>-2</v>
      </c>
      <c r="H23" s="16">
        <v>1.1659999999999999</v>
      </c>
      <c r="I23" s="15">
        <v>1267</v>
      </c>
      <c r="J23" s="13">
        <f t="shared" si="3"/>
        <v>96.656249999999986</v>
      </c>
      <c r="K23" s="13">
        <f t="shared" si="3"/>
        <v>96.718750000000014</v>
      </c>
    </row>
    <row r="24" spans="1:11" x14ac:dyDescent="0.35">
      <c r="A24" s="13">
        <f t="shared" si="1"/>
        <v>47406.016250000001</v>
      </c>
      <c r="B24" s="14">
        <f t="shared" si="2"/>
        <v>47406</v>
      </c>
      <c r="C24" s="15" t="s">
        <v>18</v>
      </c>
      <c r="D24" s="16">
        <v>1.625</v>
      </c>
      <c r="E24" s="17">
        <v>101.17</v>
      </c>
      <c r="F24" s="17">
        <v>101.18</v>
      </c>
      <c r="G24" s="18">
        <v>-2</v>
      </c>
      <c r="H24" s="16">
        <v>1.214</v>
      </c>
      <c r="I24" s="15">
        <v>1030</v>
      </c>
      <c r="J24" s="13">
        <f t="shared" si="3"/>
        <v>101.53125</v>
      </c>
      <c r="K24" s="13">
        <f t="shared" si="3"/>
        <v>101.56250000000003</v>
      </c>
    </row>
    <row r="25" spans="1:11" x14ac:dyDescent="0.35">
      <c r="A25" s="13">
        <f t="shared" si="1"/>
        <v>47498.001250000001</v>
      </c>
      <c r="B25" s="14">
        <f t="shared" si="2"/>
        <v>47498</v>
      </c>
      <c r="C25" s="15" t="s">
        <v>19</v>
      </c>
      <c r="D25" s="16">
        <v>0.125</v>
      </c>
      <c r="E25" s="17">
        <v>95.06</v>
      </c>
      <c r="F25" s="17">
        <v>95.08</v>
      </c>
      <c r="G25" s="18">
        <v>-1</v>
      </c>
      <c r="H25" s="16">
        <v>1.2969999999999999</v>
      </c>
      <c r="I25" s="15">
        <v>1259</v>
      </c>
      <c r="J25" s="13">
        <f t="shared" si="3"/>
        <v>95.1875</v>
      </c>
      <c r="K25" s="13">
        <f t="shared" si="3"/>
        <v>95.25</v>
      </c>
    </row>
    <row r="26" spans="1:11" x14ac:dyDescent="0.35">
      <c r="A26" s="13">
        <f t="shared" si="1"/>
        <v>47588.016250000001</v>
      </c>
      <c r="B26" s="14">
        <f t="shared" si="2"/>
        <v>47588</v>
      </c>
      <c r="C26" s="15" t="s">
        <v>234</v>
      </c>
      <c r="D26" s="16">
        <v>1.625</v>
      </c>
      <c r="E26" s="17">
        <v>101.03</v>
      </c>
      <c r="F26" s="17">
        <v>101.05</v>
      </c>
      <c r="G26" s="18">
        <v>-2</v>
      </c>
      <c r="H26" s="16">
        <v>1.3560000000000001</v>
      </c>
      <c r="I26" s="15">
        <v>1018</v>
      </c>
      <c r="J26" s="13">
        <f t="shared" si="3"/>
        <v>101.09375</v>
      </c>
      <c r="K26" s="13">
        <f t="shared" si="3"/>
        <v>101.15624999999999</v>
      </c>
    </row>
    <row r="27" spans="1:11" x14ac:dyDescent="0.35">
      <c r="A27" s="13">
        <f t="shared" si="1"/>
        <v>47679.001250000001</v>
      </c>
      <c r="B27" s="14">
        <f t="shared" si="2"/>
        <v>47679</v>
      </c>
      <c r="C27" s="15" t="s">
        <v>20</v>
      </c>
      <c r="D27" s="16">
        <v>0.125</v>
      </c>
      <c r="E27" s="17">
        <v>94.26</v>
      </c>
      <c r="F27" s="19">
        <v>94.28</v>
      </c>
      <c r="G27" s="18">
        <v>-1</v>
      </c>
      <c r="H27" s="16">
        <v>1.2549999999999999</v>
      </c>
      <c r="I27" s="15">
        <v>1264</v>
      </c>
      <c r="J27" s="13">
        <f t="shared" si="3"/>
        <v>94.812500000000014</v>
      </c>
      <c r="K27" s="13">
        <f t="shared" si="3"/>
        <v>94.875</v>
      </c>
    </row>
    <row r="28" spans="1:11" x14ac:dyDescent="0.35">
      <c r="A28" s="13">
        <f t="shared" si="1"/>
        <v>47771.011250000003</v>
      </c>
      <c r="B28" s="14">
        <f t="shared" si="2"/>
        <v>47771</v>
      </c>
      <c r="C28" s="15" t="s">
        <v>275</v>
      </c>
      <c r="D28" s="16">
        <v>1.125</v>
      </c>
      <c r="E28" s="17">
        <v>99.01</v>
      </c>
      <c r="F28" s="17">
        <v>99.04</v>
      </c>
      <c r="G28" s="18">
        <v>-1</v>
      </c>
      <c r="H28" s="16">
        <v>1.3109999999999999</v>
      </c>
      <c r="I28" s="15">
        <v>1002</v>
      </c>
      <c r="J28" s="13">
        <f t="shared" si="3"/>
        <v>99.031250000000014</v>
      </c>
      <c r="K28" s="13">
        <f t="shared" si="3"/>
        <v>99.125000000000014</v>
      </c>
    </row>
    <row r="29" spans="1:11" x14ac:dyDescent="0.35">
      <c r="A29" s="13">
        <f t="shared" si="1"/>
        <v>47863.001250000001</v>
      </c>
      <c r="B29" s="14">
        <f t="shared" si="2"/>
        <v>47863</v>
      </c>
      <c r="C29" s="15" t="s">
        <v>21</v>
      </c>
      <c r="D29" s="16">
        <v>0.125</v>
      </c>
      <c r="E29" s="17">
        <v>93.22</v>
      </c>
      <c r="F29" s="17">
        <v>93.24</v>
      </c>
      <c r="G29" s="18">
        <v>-1</v>
      </c>
      <c r="H29" s="16">
        <v>1.38</v>
      </c>
      <c r="I29" s="15">
        <v>1245</v>
      </c>
      <c r="J29" s="13">
        <f t="shared" si="3"/>
        <v>93.6875</v>
      </c>
      <c r="K29" s="13">
        <f t="shared" si="3"/>
        <v>93.749999999999986</v>
      </c>
    </row>
    <row r="30" spans="1:11" x14ac:dyDescent="0.35">
      <c r="A30" s="13">
        <f t="shared" si="1"/>
        <v>48044.001250000001</v>
      </c>
      <c r="B30" s="14">
        <f t="shared" si="2"/>
        <v>48044</v>
      </c>
      <c r="C30" s="15" t="s">
        <v>22</v>
      </c>
      <c r="D30" s="16">
        <v>0.125</v>
      </c>
      <c r="E30" s="17">
        <v>93.03</v>
      </c>
      <c r="F30" s="17">
        <v>93.06</v>
      </c>
      <c r="G30" s="18">
        <v>-2</v>
      </c>
      <c r="H30" s="16">
        <v>1.3779999999999999</v>
      </c>
      <c r="I30" s="15">
        <v>1209</v>
      </c>
      <c r="J30" s="13">
        <f t="shared" si="3"/>
        <v>93.09375</v>
      </c>
      <c r="K30" s="13">
        <f t="shared" si="3"/>
        <v>93.1875</v>
      </c>
    </row>
    <row r="31" spans="1:11" x14ac:dyDescent="0.35">
      <c r="A31" s="13">
        <f t="shared" si="1"/>
        <v>48228.001250000001</v>
      </c>
      <c r="B31" s="14">
        <f t="shared" si="2"/>
        <v>48228</v>
      </c>
      <c r="C31" s="15" t="s">
        <v>23</v>
      </c>
      <c r="D31" s="16">
        <v>0.125</v>
      </c>
      <c r="E31" s="17">
        <v>91.26</v>
      </c>
      <c r="F31" s="17">
        <v>91.28</v>
      </c>
      <c r="G31" s="18">
        <v>-2</v>
      </c>
      <c r="H31" s="16">
        <v>1.504</v>
      </c>
      <c r="I31" s="15">
        <v>1169</v>
      </c>
      <c r="J31" s="13">
        <f t="shared" si="3"/>
        <v>91.812500000000014</v>
      </c>
      <c r="K31" s="13">
        <f t="shared" si="3"/>
        <v>91.875</v>
      </c>
    </row>
    <row r="32" spans="1:11" x14ac:dyDescent="0.35">
      <c r="A32" s="13">
        <f t="shared" si="1"/>
        <v>48319.033750000002</v>
      </c>
      <c r="B32" s="14">
        <f t="shared" si="2"/>
        <v>48319</v>
      </c>
      <c r="C32" s="15" t="s">
        <v>24</v>
      </c>
      <c r="D32" s="16">
        <v>3.375</v>
      </c>
      <c r="E32" s="17">
        <v>111.09</v>
      </c>
      <c r="F32" s="17">
        <v>111.12</v>
      </c>
      <c r="G32" s="18">
        <v>-3</v>
      </c>
      <c r="H32" s="16">
        <v>1.5089999999999999</v>
      </c>
      <c r="I32" s="15">
        <v>1826</v>
      </c>
      <c r="J32" s="13">
        <f t="shared" si="3"/>
        <v>111.28125000000001</v>
      </c>
      <c r="K32" s="13">
        <f t="shared" si="3"/>
        <v>111.37500000000001</v>
      </c>
    </row>
    <row r="33" spans="1:11" x14ac:dyDescent="0.35">
      <c r="A33" s="13">
        <f t="shared" si="1"/>
        <v>48410.006249999999</v>
      </c>
      <c r="B33" s="14">
        <f t="shared" si="2"/>
        <v>48410</v>
      </c>
      <c r="C33" s="15" t="s">
        <v>25</v>
      </c>
      <c r="D33" s="16">
        <v>0.625</v>
      </c>
      <c r="E33" s="17">
        <v>94.12</v>
      </c>
      <c r="F33" s="17">
        <v>94.14</v>
      </c>
      <c r="G33" s="18">
        <v>-2</v>
      </c>
      <c r="H33" s="16">
        <v>1.502</v>
      </c>
      <c r="I33" s="15">
        <v>1115</v>
      </c>
      <c r="J33" s="13">
        <f t="shared" si="3"/>
        <v>94.375000000000014</v>
      </c>
      <c r="K33" s="13">
        <f t="shared" si="3"/>
        <v>94.4375</v>
      </c>
    </row>
    <row r="34" spans="1:11" x14ac:dyDescent="0.35">
      <c r="A34" s="13">
        <f t="shared" si="1"/>
        <v>48594.011250000003</v>
      </c>
      <c r="B34" s="14">
        <f t="shared" si="2"/>
        <v>48594</v>
      </c>
      <c r="C34" s="15" t="s">
        <v>26</v>
      </c>
      <c r="D34" s="16">
        <v>1.125</v>
      </c>
      <c r="E34" s="17">
        <v>96.18</v>
      </c>
      <c r="F34" s="17">
        <v>96.21</v>
      </c>
      <c r="G34" s="18">
        <v>-3</v>
      </c>
      <c r="H34" s="16">
        <v>1.62</v>
      </c>
      <c r="I34" s="15">
        <v>1088</v>
      </c>
      <c r="J34" s="13">
        <f t="shared" si="3"/>
        <v>96.562500000000028</v>
      </c>
      <c r="K34" s="13">
        <f t="shared" si="3"/>
        <v>96.656249999999986</v>
      </c>
    </row>
    <row r="35" spans="1:11" x14ac:dyDescent="0.35">
      <c r="A35" s="13">
        <f t="shared" si="1"/>
        <v>48775.013749999998</v>
      </c>
      <c r="B35" s="14">
        <f t="shared" si="2"/>
        <v>48775</v>
      </c>
      <c r="C35" s="15" t="s">
        <v>27</v>
      </c>
      <c r="D35" s="16">
        <v>1.375</v>
      </c>
      <c r="E35" s="17">
        <v>98.05</v>
      </c>
      <c r="F35" s="17">
        <v>98.09</v>
      </c>
      <c r="G35" s="18">
        <v>-3</v>
      </c>
      <c r="H35" s="16">
        <v>1.6160000000000001</v>
      </c>
      <c r="I35" s="15">
        <v>1067</v>
      </c>
      <c r="J35" s="13">
        <f t="shared" si="3"/>
        <v>98.156249999999986</v>
      </c>
      <c r="K35" s="13">
        <f t="shared" si="3"/>
        <v>98.281250000000014</v>
      </c>
    </row>
    <row r="36" spans="1:11" x14ac:dyDescent="0.35">
      <c r="A36" s="13">
        <f t="shared" si="1"/>
        <v>48959.017500000002</v>
      </c>
      <c r="B36" s="14">
        <f t="shared" si="2"/>
        <v>48959</v>
      </c>
      <c r="C36" s="15" t="s">
        <v>28</v>
      </c>
      <c r="D36" s="16">
        <v>1.75</v>
      </c>
      <c r="E36" s="17">
        <v>100.04</v>
      </c>
      <c r="F36" s="17">
        <v>100.08</v>
      </c>
      <c r="G36" s="18">
        <v>-3</v>
      </c>
      <c r="H36" s="16">
        <v>1.718</v>
      </c>
      <c r="I36" s="15">
        <v>1054</v>
      </c>
      <c r="J36" s="13">
        <f t="shared" si="3"/>
        <v>100.12500000000001</v>
      </c>
      <c r="K36" s="13">
        <f t="shared" si="3"/>
        <v>100.25</v>
      </c>
    </row>
    <row r="37" spans="1:11" x14ac:dyDescent="0.35">
      <c r="A37" s="13">
        <f t="shared" si="1"/>
        <v>49140.018750000003</v>
      </c>
      <c r="B37" s="14">
        <f t="shared" si="2"/>
        <v>49140</v>
      </c>
      <c r="C37" s="15" t="s">
        <v>29</v>
      </c>
      <c r="D37" s="16">
        <v>1.875</v>
      </c>
      <c r="E37" s="17">
        <v>101.04</v>
      </c>
      <c r="F37" s="17">
        <v>101.08</v>
      </c>
      <c r="G37" s="18">
        <v>-4</v>
      </c>
      <c r="H37" s="16">
        <v>1.72</v>
      </c>
      <c r="I37" s="15">
        <v>1033</v>
      </c>
      <c r="J37" s="13">
        <f t="shared" si="3"/>
        <v>101.12500000000001</v>
      </c>
      <c r="K37" s="13">
        <f t="shared" si="3"/>
        <v>101.25</v>
      </c>
    </row>
    <row r="38" spans="1:11" x14ac:dyDescent="0.35">
      <c r="A38" s="13">
        <f t="shared" si="1"/>
        <v>49324.021249999998</v>
      </c>
      <c r="B38" s="14">
        <f t="shared" si="2"/>
        <v>49324</v>
      </c>
      <c r="C38" s="15" t="s">
        <v>220</v>
      </c>
      <c r="D38" s="16">
        <v>2.125</v>
      </c>
      <c r="E38" s="17">
        <v>102.17</v>
      </c>
      <c r="F38" s="17">
        <v>102.21</v>
      </c>
      <c r="G38" s="18">
        <v>-3</v>
      </c>
      <c r="H38" s="16">
        <v>1.8089999999999999</v>
      </c>
      <c r="I38" s="15">
        <v>1027</v>
      </c>
      <c r="J38" s="13">
        <f t="shared" si="3"/>
        <v>102.53125</v>
      </c>
      <c r="K38" s="13">
        <f t="shared" si="3"/>
        <v>102.65624999999999</v>
      </c>
    </row>
    <row r="39" spans="1:11" x14ac:dyDescent="0.35">
      <c r="A39" s="13">
        <f t="shared" si="1"/>
        <v>49505.018750000003</v>
      </c>
      <c r="B39" s="14">
        <f t="shared" si="2"/>
        <v>49505</v>
      </c>
      <c r="C39" s="15" t="s">
        <v>260</v>
      </c>
      <c r="D39" s="16">
        <v>1.875</v>
      </c>
      <c r="E39" s="17">
        <v>100.15</v>
      </c>
      <c r="F39" s="17">
        <v>100.19</v>
      </c>
      <c r="G39" s="18">
        <v>-4</v>
      </c>
      <c r="H39" s="16">
        <v>1.8069999999999999</v>
      </c>
      <c r="I39" s="15">
        <v>1009</v>
      </c>
      <c r="J39" s="13">
        <f t="shared" si="3"/>
        <v>100.46875000000001</v>
      </c>
      <c r="K39" s="13">
        <f t="shared" si="3"/>
        <v>100.59375</v>
      </c>
    </row>
    <row r="40" spans="1:11" x14ac:dyDescent="0.35">
      <c r="A40" s="13">
        <f t="shared" si="1"/>
        <v>51181.021249999998</v>
      </c>
      <c r="B40" s="14">
        <f t="shared" si="2"/>
        <v>51181</v>
      </c>
      <c r="C40" s="15" t="s">
        <v>30</v>
      </c>
      <c r="D40" s="16">
        <v>2.125</v>
      </c>
      <c r="E40" s="17">
        <v>100.14</v>
      </c>
      <c r="F40" s="17">
        <v>100.2</v>
      </c>
      <c r="G40" s="18">
        <v>-3</v>
      </c>
      <c r="H40" s="16">
        <v>2.0750000000000002</v>
      </c>
      <c r="I40" s="15">
        <v>1499</v>
      </c>
      <c r="J40" s="13">
        <f t="shared" si="3"/>
        <v>100.4375</v>
      </c>
      <c r="K40" s="13">
        <f t="shared" si="3"/>
        <v>100.62500000000001</v>
      </c>
    </row>
    <row r="41" spans="1:11" x14ac:dyDescent="0.35">
      <c r="A41" s="13">
        <f t="shared" si="1"/>
        <v>51547.021249999998</v>
      </c>
      <c r="B41" s="14">
        <f t="shared" si="2"/>
        <v>51547</v>
      </c>
      <c r="C41" s="15" t="s">
        <v>31</v>
      </c>
      <c r="D41" s="16">
        <v>2.125</v>
      </c>
      <c r="E41" s="17">
        <v>99.16</v>
      </c>
      <c r="F41" s="17">
        <v>99.22</v>
      </c>
      <c r="G41" s="18">
        <v>-4</v>
      </c>
      <c r="H41" s="16">
        <v>2.1480000000000001</v>
      </c>
      <c r="I41" s="15">
        <v>1480</v>
      </c>
      <c r="J41" s="13">
        <f t="shared" si="3"/>
        <v>99.499999999999986</v>
      </c>
      <c r="K41" s="13">
        <f t="shared" si="3"/>
        <v>99.6875</v>
      </c>
    </row>
    <row r="42" spans="1:11" x14ac:dyDescent="0.35">
      <c r="A42" s="13">
        <f t="shared" si="1"/>
        <v>51912.0075</v>
      </c>
      <c r="B42" s="14">
        <f t="shared" si="2"/>
        <v>51912</v>
      </c>
      <c r="C42" s="15" t="s">
        <v>32</v>
      </c>
      <c r="D42" s="16">
        <v>0.75</v>
      </c>
      <c r="E42" s="17">
        <v>79.08</v>
      </c>
      <c r="F42" s="17">
        <v>79.13</v>
      </c>
      <c r="G42" s="18">
        <v>-5</v>
      </c>
      <c r="H42" s="16">
        <v>2.2709999999999999</v>
      </c>
      <c r="I42" s="15">
        <v>1434</v>
      </c>
      <c r="J42" s="13">
        <f t="shared" si="3"/>
        <v>79.25</v>
      </c>
      <c r="K42" s="13">
        <f t="shared" si="3"/>
        <v>79.406249999999986</v>
      </c>
    </row>
    <row r="43" spans="1:11" x14ac:dyDescent="0.35">
      <c r="A43" s="13">
        <f t="shared" si="1"/>
        <v>52277.006249999999</v>
      </c>
      <c r="B43" s="14">
        <f t="shared" si="2"/>
        <v>52277</v>
      </c>
      <c r="C43" s="15" t="s">
        <v>33</v>
      </c>
      <c r="D43" s="16">
        <v>0.625</v>
      </c>
      <c r="E43" s="17">
        <v>75.290000000000006</v>
      </c>
      <c r="F43" s="17">
        <v>76.02</v>
      </c>
      <c r="G43" s="18">
        <v>-5</v>
      </c>
      <c r="H43" s="16">
        <v>2.3140000000000001</v>
      </c>
      <c r="I43" s="15">
        <v>1409</v>
      </c>
      <c r="J43" s="13">
        <f t="shared" si="3"/>
        <v>75.906250000000014</v>
      </c>
      <c r="K43" s="13">
        <f t="shared" si="3"/>
        <v>76.062499999999986</v>
      </c>
    </row>
    <row r="44" spans="1:11" x14ac:dyDescent="0.35">
      <c r="A44" s="13">
        <f t="shared" si="1"/>
        <v>52642.013749999998</v>
      </c>
      <c r="B44" s="14">
        <f t="shared" si="2"/>
        <v>52642</v>
      </c>
      <c r="C44" s="15" t="s">
        <v>34</v>
      </c>
      <c r="D44" s="16">
        <v>1.375</v>
      </c>
      <c r="E44" s="17">
        <v>85.15</v>
      </c>
      <c r="F44" s="17">
        <v>85.21</v>
      </c>
      <c r="G44" s="18">
        <v>-6</v>
      </c>
      <c r="H44" s="16">
        <v>2.3439999999999999</v>
      </c>
      <c r="I44" s="15">
        <v>1390</v>
      </c>
      <c r="J44" s="13">
        <f t="shared" ref="J44:K60" si="4">INT(E44)+(100*MOD(E44,1))/32</f>
        <v>85.468750000000014</v>
      </c>
      <c r="K44" s="13">
        <f t="shared" si="4"/>
        <v>85.656249999999986</v>
      </c>
    </row>
    <row r="45" spans="1:11" x14ac:dyDescent="0.35">
      <c r="A45" s="13">
        <f t="shared" si="1"/>
        <v>53008.0075</v>
      </c>
      <c r="B45" s="14">
        <f t="shared" si="2"/>
        <v>53008</v>
      </c>
      <c r="C45" s="15" t="s">
        <v>35</v>
      </c>
      <c r="D45" s="16">
        <v>0.75</v>
      </c>
      <c r="E45" s="17">
        <v>74.2</v>
      </c>
      <c r="F45" s="17">
        <v>74.260000000000005</v>
      </c>
      <c r="G45" s="18">
        <v>-5</v>
      </c>
      <c r="H45" s="16">
        <v>2.3879999999999999</v>
      </c>
      <c r="I45" s="15">
        <v>1376</v>
      </c>
      <c r="J45" s="13">
        <f t="shared" si="4"/>
        <v>74.625000000000014</v>
      </c>
      <c r="K45" s="13">
        <f t="shared" si="4"/>
        <v>74.812500000000014</v>
      </c>
    </row>
    <row r="46" spans="1:11" x14ac:dyDescent="0.35">
      <c r="A46" s="13">
        <f t="shared" si="1"/>
        <v>53373.01</v>
      </c>
      <c r="B46" s="14">
        <f t="shared" si="2"/>
        <v>53373</v>
      </c>
      <c r="C46" s="15" t="s">
        <v>36</v>
      </c>
      <c r="D46" s="16">
        <v>1</v>
      </c>
      <c r="E46" s="17">
        <v>77.05</v>
      </c>
      <c r="F46" s="17">
        <v>77.11</v>
      </c>
      <c r="G46" s="18">
        <v>-6</v>
      </c>
      <c r="H46" s="16">
        <v>2.42</v>
      </c>
      <c r="I46" s="15">
        <v>1368</v>
      </c>
      <c r="J46" s="13">
        <f t="shared" si="4"/>
        <v>77.156249999999986</v>
      </c>
      <c r="K46" s="13">
        <f t="shared" si="4"/>
        <v>77.34375</v>
      </c>
    </row>
    <row r="47" spans="1:11" x14ac:dyDescent="0.35">
      <c r="A47" s="13">
        <f t="shared" si="1"/>
        <v>53738.008750000001</v>
      </c>
      <c r="B47" s="14">
        <f t="shared" si="2"/>
        <v>53738</v>
      </c>
      <c r="C47" s="15" t="s">
        <v>37</v>
      </c>
      <c r="D47" s="16">
        <v>0.875</v>
      </c>
      <c r="E47" s="17">
        <v>73.28</v>
      </c>
      <c r="F47" s="17">
        <v>74.03</v>
      </c>
      <c r="G47" s="18">
        <v>-6</v>
      </c>
      <c r="H47" s="16">
        <v>2.4449999999999998</v>
      </c>
      <c r="I47" s="15">
        <v>1342</v>
      </c>
      <c r="J47" s="13">
        <f t="shared" si="4"/>
        <v>73.875</v>
      </c>
      <c r="K47" s="13">
        <f t="shared" si="4"/>
        <v>74.09375</v>
      </c>
    </row>
    <row r="48" spans="1:11" x14ac:dyDescent="0.35">
      <c r="A48" s="13">
        <f t="shared" si="1"/>
        <v>54103.01</v>
      </c>
      <c r="B48" s="14">
        <f t="shared" si="2"/>
        <v>54103</v>
      </c>
      <c r="C48" s="15" t="s">
        <v>38</v>
      </c>
      <c r="D48" s="16">
        <v>1</v>
      </c>
      <c r="E48" s="17">
        <v>74.290000000000006</v>
      </c>
      <c r="F48" s="17">
        <v>75.040000000000006</v>
      </c>
      <c r="G48" s="18">
        <v>-6</v>
      </c>
      <c r="H48" s="16">
        <v>2.4569999999999999</v>
      </c>
      <c r="I48" s="15">
        <v>1314</v>
      </c>
      <c r="J48" s="13">
        <f t="shared" si="4"/>
        <v>74.906250000000014</v>
      </c>
      <c r="K48" s="13">
        <f t="shared" si="4"/>
        <v>75.125000000000014</v>
      </c>
    </row>
    <row r="49" spans="1:12" x14ac:dyDescent="0.35">
      <c r="A49" s="13">
        <f t="shared" si="1"/>
        <v>54469.01</v>
      </c>
      <c r="B49" s="14">
        <f t="shared" si="2"/>
        <v>54469</v>
      </c>
      <c r="C49" s="15" t="s">
        <v>39</v>
      </c>
      <c r="D49" s="16">
        <v>1</v>
      </c>
      <c r="E49" s="17">
        <v>73.260000000000005</v>
      </c>
      <c r="F49" s="17">
        <v>74.010000000000005</v>
      </c>
      <c r="G49" s="18">
        <v>-5</v>
      </c>
      <c r="H49" s="16">
        <v>2.476</v>
      </c>
      <c r="I49" s="15">
        <v>1288</v>
      </c>
      <c r="J49" s="13">
        <f t="shared" si="4"/>
        <v>73.812500000000014</v>
      </c>
      <c r="K49" s="13">
        <f t="shared" si="4"/>
        <v>74.031250000000014</v>
      </c>
    </row>
    <row r="50" spans="1:12" x14ac:dyDescent="0.35">
      <c r="A50" s="13">
        <f t="shared" si="1"/>
        <v>54834.002500000002</v>
      </c>
      <c r="B50" s="14">
        <f t="shared" si="2"/>
        <v>54834</v>
      </c>
      <c r="C50" s="15" t="s">
        <v>40</v>
      </c>
      <c r="D50" s="16">
        <v>0.25</v>
      </c>
      <c r="E50" s="17">
        <v>59.07</v>
      </c>
      <c r="F50" s="17">
        <v>59.13</v>
      </c>
      <c r="G50" s="18">
        <v>-6</v>
      </c>
      <c r="H50" s="16">
        <v>2.488</v>
      </c>
      <c r="I50" s="15">
        <v>1260</v>
      </c>
      <c r="J50" s="13">
        <f t="shared" si="4"/>
        <v>59.21875</v>
      </c>
      <c r="K50" s="13">
        <f t="shared" si="4"/>
        <v>59.406250000000007</v>
      </c>
    </row>
    <row r="51" spans="1:12" x14ac:dyDescent="0.35">
      <c r="A51" s="13">
        <f t="shared" si="1"/>
        <v>55199.001250000001</v>
      </c>
      <c r="B51" s="14">
        <f t="shared" si="2"/>
        <v>55199</v>
      </c>
      <c r="C51" s="15" t="s">
        <v>41</v>
      </c>
      <c r="D51" s="16">
        <v>0.125</v>
      </c>
      <c r="E51" s="17">
        <v>55.19</v>
      </c>
      <c r="F51" s="17">
        <v>55.25</v>
      </c>
      <c r="G51" s="18">
        <v>-6</v>
      </c>
      <c r="H51" s="16">
        <v>2.4950000000000001</v>
      </c>
      <c r="I51" s="15">
        <v>1245</v>
      </c>
      <c r="J51" s="13">
        <f t="shared" si="4"/>
        <v>55.593749999999993</v>
      </c>
      <c r="K51" s="13">
        <f t="shared" si="4"/>
        <v>55.78125</v>
      </c>
    </row>
    <row r="52" spans="1:12" x14ac:dyDescent="0.35">
      <c r="A52" s="13">
        <f t="shared" si="1"/>
        <v>55564.001250000001</v>
      </c>
      <c r="B52" s="14">
        <f t="shared" si="2"/>
        <v>55564</v>
      </c>
      <c r="C52" s="15" t="s">
        <v>42</v>
      </c>
      <c r="D52" s="16">
        <v>0.125</v>
      </c>
      <c r="E52" s="17">
        <v>54.13</v>
      </c>
      <c r="F52" s="17">
        <v>54.19</v>
      </c>
      <c r="G52" s="18">
        <v>-5</v>
      </c>
      <c r="H52" s="16">
        <v>2.4910000000000001</v>
      </c>
      <c r="I52" s="15">
        <v>1164</v>
      </c>
      <c r="J52" s="13">
        <f t="shared" si="4"/>
        <v>54.406250000000007</v>
      </c>
      <c r="K52" s="13">
        <f t="shared" si="4"/>
        <v>54.593749999999993</v>
      </c>
    </row>
    <row r="53" spans="1:12" x14ac:dyDescent="0.35">
      <c r="A53" s="13">
        <f t="shared" si="1"/>
        <v>55930.014999999999</v>
      </c>
      <c r="B53" s="14">
        <f t="shared" si="2"/>
        <v>55930</v>
      </c>
      <c r="C53" s="15" t="s">
        <v>43</v>
      </c>
      <c r="D53" s="16">
        <v>1.5</v>
      </c>
      <c r="E53" s="17">
        <v>80.03</v>
      </c>
      <c r="F53" s="17">
        <v>80.11</v>
      </c>
      <c r="G53" s="18">
        <v>-6</v>
      </c>
      <c r="H53" s="16">
        <v>2.4990000000000001</v>
      </c>
      <c r="I53" s="15">
        <v>1090</v>
      </c>
      <c r="J53" s="13">
        <f t="shared" si="4"/>
        <v>80.09375</v>
      </c>
      <c r="K53" s="13">
        <f t="shared" si="4"/>
        <v>80.34375</v>
      </c>
    </row>
    <row r="54" spans="1:12" x14ac:dyDescent="0.35">
      <c r="A54" s="13">
        <f t="shared" si="1"/>
        <v>56295.021249999998</v>
      </c>
      <c r="B54" s="14">
        <f t="shared" si="2"/>
        <v>56295</v>
      </c>
      <c r="C54" s="15" t="s">
        <v>44</v>
      </c>
      <c r="D54" s="16">
        <v>2.125</v>
      </c>
      <c r="E54" s="17">
        <v>92.09</v>
      </c>
      <c r="F54" s="17">
        <v>92.18</v>
      </c>
      <c r="G54" s="18">
        <v>-8</v>
      </c>
      <c r="H54" s="16">
        <v>2.4929999999999999</v>
      </c>
      <c r="I54" s="15">
        <v>1056</v>
      </c>
      <c r="J54" s="13">
        <f t="shared" si="4"/>
        <v>92.281250000000014</v>
      </c>
      <c r="K54" s="13">
        <f t="shared" si="4"/>
        <v>92.562500000000028</v>
      </c>
    </row>
    <row r="55" spans="1:12" x14ac:dyDescent="0.35">
      <c r="A55" s="13">
        <f t="shared" si="1"/>
        <v>56660.02375</v>
      </c>
      <c r="B55" s="14">
        <f t="shared" si="2"/>
        <v>56660</v>
      </c>
      <c r="C55" s="155" t="s">
        <v>222</v>
      </c>
      <c r="D55" s="16">
        <v>2.375</v>
      </c>
      <c r="E55" s="17">
        <v>97.18</v>
      </c>
      <c r="F55" s="17">
        <v>97.27</v>
      </c>
      <c r="G55" s="18">
        <v>-8</v>
      </c>
      <c r="H55" s="16">
        <v>2.4780000000000002</v>
      </c>
      <c r="I55" s="15">
        <v>1027</v>
      </c>
      <c r="J55" s="13">
        <f t="shared" si="4"/>
        <v>97.562500000000028</v>
      </c>
      <c r="K55" s="13">
        <f t="shared" si="4"/>
        <v>97.843749999999986</v>
      </c>
      <c r="L55" s="156"/>
    </row>
    <row r="56" spans="1:12" x14ac:dyDescent="0.35">
      <c r="A56" s="13" t="e">
        <f t="shared" si="1"/>
        <v>#VALUE!</v>
      </c>
      <c r="B56" s="14" t="e">
        <f t="shared" si="2"/>
        <v>#VALUE!</v>
      </c>
      <c r="C56" s="15"/>
      <c r="D56" s="16"/>
      <c r="E56" s="17"/>
      <c r="F56" s="17"/>
      <c r="G56" s="18"/>
      <c r="H56" s="16"/>
      <c r="I56" s="15"/>
      <c r="J56" s="13">
        <f t="shared" si="4"/>
        <v>0</v>
      </c>
      <c r="K56" s="13">
        <f t="shared" si="4"/>
        <v>0</v>
      </c>
    </row>
    <row r="57" spans="1:12" x14ac:dyDescent="0.35">
      <c r="A57" s="13" t="e">
        <f t="shared" si="1"/>
        <v>#VALUE!</v>
      </c>
      <c r="B57" s="14" t="e">
        <f t="shared" si="2"/>
        <v>#VALUE!</v>
      </c>
      <c r="C57" s="15"/>
      <c r="D57" s="16"/>
      <c r="E57" s="17"/>
      <c r="F57" s="17"/>
      <c r="G57" s="18"/>
      <c r="H57" s="16"/>
      <c r="I57" s="15"/>
      <c r="J57" s="13">
        <f t="shared" si="4"/>
        <v>0</v>
      </c>
      <c r="K57" s="13">
        <f t="shared" si="4"/>
        <v>0</v>
      </c>
    </row>
    <row r="58" spans="1:12" x14ac:dyDescent="0.35">
      <c r="A58" s="13" t="e">
        <f t="shared" si="1"/>
        <v>#VALUE!</v>
      </c>
      <c r="B58" s="14" t="e">
        <f t="shared" si="2"/>
        <v>#VALUE!</v>
      </c>
      <c r="C58" s="15"/>
      <c r="D58" s="16"/>
      <c r="E58" s="17"/>
      <c r="F58" s="17"/>
      <c r="G58" s="18"/>
      <c r="H58" s="16"/>
      <c r="I58" s="15"/>
      <c r="J58" s="13">
        <f t="shared" si="4"/>
        <v>0</v>
      </c>
      <c r="K58" s="13">
        <f t="shared" si="4"/>
        <v>0</v>
      </c>
    </row>
    <row r="59" spans="1:12" x14ac:dyDescent="0.35">
      <c r="A59" s="13" t="e">
        <f t="shared" si="1"/>
        <v>#VALUE!</v>
      </c>
      <c r="B59" s="14" t="e">
        <f t="shared" si="2"/>
        <v>#VALUE!</v>
      </c>
      <c r="C59" s="15"/>
      <c r="D59" s="16"/>
      <c r="E59" s="17"/>
      <c r="F59" s="17"/>
      <c r="G59" s="18"/>
      <c r="H59" s="16"/>
      <c r="I59" s="15"/>
      <c r="J59" s="13">
        <f t="shared" si="4"/>
        <v>0</v>
      </c>
      <c r="K59" s="13">
        <f t="shared" si="4"/>
        <v>0</v>
      </c>
    </row>
    <row r="60" spans="1:12" x14ac:dyDescent="0.35">
      <c r="A60" s="13" t="e">
        <f t="shared" si="1"/>
        <v>#VALUE!</v>
      </c>
      <c r="B60" s="14" t="e">
        <f t="shared" si="2"/>
        <v>#VALUE!</v>
      </c>
      <c r="C60" s="15"/>
      <c r="D60" s="16"/>
      <c r="E60" s="17"/>
      <c r="F60" s="19"/>
      <c r="G60" s="18"/>
      <c r="H60" s="16"/>
      <c r="I60" s="15"/>
      <c r="J60" s="13">
        <f t="shared" si="4"/>
        <v>0</v>
      </c>
      <c r="K60" s="13">
        <f t="shared" si="4"/>
        <v>0</v>
      </c>
    </row>
    <row r="61" spans="1:12" x14ac:dyDescent="0.35">
      <c r="A61" s="13" t="e">
        <f t="shared" si="1"/>
        <v>#VALUE!</v>
      </c>
      <c r="B61" s="14" t="e">
        <f t="shared" si="2"/>
        <v>#VALUE!</v>
      </c>
      <c r="C61" s="15"/>
      <c r="D61" s="16"/>
      <c r="E61" s="17"/>
      <c r="F61" s="19"/>
      <c r="G61" s="18"/>
      <c r="H61" s="16"/>
      <c r="I61" s="15"/>
      <c r="J61" s="13">
        <f t="shared" ref="J61:J70" si="5">INT(E61)+(100*MOD(E61,1))/32</f>
        <v>0</v>
      </c>
      <c r="K61" s="13">
        <f t="shared" ref="K61:K70" si="6">INT(F61)+(100*MOD(F61,1))/32</f>
        <v>0</v>
      </c>
    </row>
    <row r="62" spans="1:12" x14ac:dyDescent="0.35">
      <c r="A62" s="13" t="e">
        <f t="shared" si="1"/>
        <v>#VALUE!</v>
      </c>
      <c r="B62" s="14" t="e">
        <f t="shared" si="2"/>
        <v>#VALUE!</v>
      </c>
      <c r="C62" s="15"/>
      <c r="D62" s="16"/>
      <c r="E62" s="17"/>
      <c r="F62" s="19"/>
      <c r="G62" s="18"/>
      <c r="H62" s="16"/>
      <c r="I62" s="15"/>
      <c r="J62" s="13">
        <f t="shared" si="5"/>
        <v>0</v>
      </c>
      <c r="K62" s="13">
        <f t="shared" si="6"/>
        <v>0</v>
      </c>
    </row>
    <row r="63" spans="1:12" x14ac:dyDescent="0.35">
      <c r="A63" s="13" t="e">
        <f t="shared" si="1"/>
        <v>#VALUE!</v>
      </c>
      <c r="B63" s="14" t="e">
        <f t="shared" si="2"/>
        <v>#VALUE!</v>
      </c>
      <c r="C63" s="15"/>
      <c r="D63" s="16"/>
      <c r="E63" s="17"/>
      <c r="F63" s="19"/>
      <c r="G63" s="18"/>
      <c r="H63" s="16"/>
      <c r="I63" s="15"/>
      <c r="J63" s="13">
        <f t="shared" si="5"/>
        <v>0</v>
      </c>
      <c r="K63" s="13">
        <f t="shared" si="6"/>
        <v>0</v>
      </c>
    </row>
    <row r="64" spans="1:12" x14ac:dyDescent="0.35">
      <c r="A64" s="13" t="e">
        <f t="shared" si="1"/>
        <v>#VALUE!</v>
      </c>
      <c r="B64" s="14" t="e">
        <f t="shared" si="2"/>
        <v>#VALUE!</v>
      </c>
      <c r="C64" s="15"/>
      <c r="D64" s="16"/>
      <c r="E64" s="17"/>
      <c r="F64" s="19"/>
      <c r="G64" s="18"/>
      <c r="H64" s="16"/>
      <c r="I64" s="15"/>
      <c r="J64" s="13">
        <f t="shared" si="5"/>
        <v>0</v>
      </c>
      <c r="K64" s="13">
        <f t="shared" si="6"/>
        <v>0</v>
      </c>
    </row>
    <row r="65" spans="1:12" x14ac:dyDescent="0.35">
      <c r="A65" s="158" t="e">
        <f t="shared" si="1"/>
        <v>#VALUE!</v>
      </c>
      <c r="B65" s="159" t="e">
        <f t="shared" si="2"/>
        <v>#VALUE!</v>
      </c>
      <c r="C65" s="160"/>
      <c r="D65" s="161"/>
      <c r="E65" s="162"/>
      <c r="F65" s="163"/>
      <c r="G65" s="164"/>
      <c r="H65" s="161"/>
      <c r="I65" s="160"/>
      <c r="J65" s="158">
        <f t="shared" si="5"/>
        <v>0</v>
      </c>
      <c r="K65" s="158">
        <f t="shared" si="6"/>
        <v>0</v>
      </c>
      <c r="L65" s="156" t="s">
        <v>225</v>
      </c>
    </row>
    <row r="66" spans="1:12" x14ac:dyDescent="0.35">
      <c r="A66" s="13" t="e">
        <f t="shared" si="1"/>
        <v>#VALUE!</v>
      </c>
      <c r="B66" s="14" t="e">
        <f t="shared" si="2"/>
        <v>#VALUE!</v>
      </c>
      <c r="C66" s="15"/>
      <c r="D66" s="16"/>
      <c r="E66" s="17"/>
      <c r="F66" s="19"/>
      <c r="G66" s="18"/>
      <c r="H66" s="16"/>
      <c r="I66" s="15"/>
      <c r="J66" s="13">
        <f t="shared" si="5"/>
        <v>0</v>
      </c>
      <c r="K66" s="13">
        <f t="shared" si="6"/>
        <v>0</v>
      </c>
    </row>
    <row r="67" spans="1:12" x14ac:dyDescent="0.35">
      <c r="A67" s="13" t="e">
        <f t="shared" si="1"/>
        <v>#VALUE!</v>
      </c>
      <c r="B67" s="14" t="e">
        <f t="shared" si="2"/>
        <v>#VALUE!</v>
      </c>
      <c r="C67" s="15"/>
      <c r="D67" s="16"/>
      <c r="E67" s="17"/>
      <c r="F67" s="19"/>
      <c r="G67" s="18"/>
      <c r="H67" s="16"/>
      <c r="I67" s="15"/>
      <c r="J67" s="13">
        <f t="shared" si="5"/>
        <v>0</v>
      </c>
      <c r="K67" s="13">
        <f t="shared" si="6"/>
        <v>0</v>
      </c>
    </row>
    <row r="68" spans="1:12" x14ac:dyDescent="0.35">
      <c r="A68" s="13" t="e">
        <f t="shared" ref="A68:A70" si="7">B68+D68/100</f>
        <v>#VALUE!</v>
      </c>
      <c r="B68" s="14" t="e">
        <f t="shared" ref="B68:B70" si="8">DATE(VALUE(LEFT(TRIM($C68),4)),INT((SEARCH(TRIM(MID(TRIM($C68),5,4)),"JanFebMarAprMayJunJulAugSepOctNovDec")-1)/3)+1,VALUE(RIGHT(TRIM($C68),2)))</f>
        <v>#VALUE!</v>
      </c>
      <c r="C68" s="15"/>
      <c r="D68" s="16"/>
      <c r="E68" s="17"/>
      <c r="F68" s="19"/>
      <c r="G68" s="18"/>
      <c r="H68" s="16"/>
      <c r="I68" s="15"/>
      <c r="J68" s="13">
        <f t="shared" si="5"/>
        <v>0</v>
      </c>
      <c r="K68" s="13">
        <f t="shared" si="6"/>
        <v>0</v>
      </c>
    </row>
    <row r="69" spans="1:12" x14ac:dyDescent="0.35">
      <c r="A69" s="13" t="e">
        <f t="shared" si="7"/>
        <v>#VALUE!</v>
      </c>
      <c r="B69" s="14" t="e">
        <f t="shared" si="8"/>
        <v>#VALUE!</v>
      </c>
      <c r="C69" s="15"/>
      <c r="D69" s="16"/>
      <c r="E69" s="17"/>
      <c r="F69" s="19"/>
      <c r="G69" s="18"/>
      <c r="H69" s="16"/>
      <c r="I69" s="15"/>
      <c r="J69" s="13">
        <f t="shared" si="5"/>
        <v>0</v>
      </c>
      <c r="K69" s="13">
        <f t="shared" si="6"/>
        <v>0</v>
      </c>
    </row>
    <row r="70" spans="1:12" x14ac:dyDescent="0.35">
      <c r="A70" s="13" t="e">
        <f t="shared" si="7"/>
        <v>#VALUE!</v>
      </c>
      <c r="B70" s="14" t="e">
        <f t="shared" si="8"/>
        <v>#VALUE!</v>
      </c>
      <c r="C70" s="155"/>
      <c r="D70" s="16"/>
      <c r="E70" s="17"/>
      <c r="F70" s="19"/>
      <c r="G70" s="18"/>
      <c r="H70" s="16"/>
      <c r="I70" s="15"/>
      <c r="J70" s="13">
        <f t="shared" si="5"/>
        <v>0</v>
      </c>
      <c r="K70" s="13">
        <f t="shared" si="6"/>
        <v>0</v>
      </c>
      <c r="L70" s="156" t="s">
        <v>224</v>
      </c>
    </row>
  </sheetData>
  <pageMargins left="0.7" right="0.7" top="0.75" bottom="0.75" header="0.3" footer="0.3"/>
  <pageSetup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2DAA5D-4749-437B-B2E6-7E76F108EC74}">
  <dimension ref="A1:W57"/>
  <sheetViews>
    <sheetView zoomScale="90" zoomScaleNormal="90"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H1" sqref="H1"/>
    </sheetView>
  </sheetViews>
  <sheetFormatPr defaultColWidth="8.81640625" defaultRowHeight="14.5" x14ac:dyDescent="0.35"/>
  <cols>
    <col min="1" max="1" width="14.54296875" style="7" bestFit="1" customWidth="1"/>
    <col min="2" max="2" width="11.6328125" style="2" bestFit="1" customWidth="1"/>
    <col min="3" max="3" width="7.81640625" style="6" bestFit="1" customWidth="1"/>
    <col min="4" max="4" width="8.36328125" style="177" bestFit="1" customWidth="1"/>
    <col min="5" max="5" width="11.6328125" style="47" bestFit="1" customWidth="1"/>
    <col min="6" max="6" width="11.6328125" style="7" bestFit="1" customWidth="1"/>
    <col min="7" max="7" width="7.54296875" style="181" bestFit="1" customWidth="1"/>
    <col min="8" max="8" width="8.36328125" style="177" bestFit="1" customWidth="1"/>
    <col min="9" max="9" width="11.6328125" style="47" bestFit="1" customWidth="1"/>
    <col min="10" max="10" width="11.6328125" style="7" bestFit="1" customWidth="1"/>
    <col min="11" max="11" width="7.54296875" style="181" bestFit="1" customWidth="1"/>
    <col min="12" max="12" width="8.36328125" style="177" bestFit="1" customWidth="1"/>
    <col min="13" max="13" width="11.6328125" style="47" bestFit="1" customWidth="1"/>
    <col min="14" max="14" width="11.6328125" style="7" bestFit="1" customWidth="1"/>
    <col min="15" max="15" width="7.54296875" style="181" bestFit="1" customWidth="1"/>
    <col min="16" max="16" width="8.36328125" style="177" bestFit="1" customWidth="1"/>
    <col min="17" max="17" width="11.6328125" style="47" bestFit="1" customWidth="1"/>
    <col min="18" max="18" width="11.6328125" style="7" bestFit="1" customWidth="1"/>
    <col min="19" max="19" width="7.54296875" style="181" bestFit="1" customWidth="1"/>
    <col min="20" max="20" width="8.36328125" style="177" bestFit="1" customWidth="1"/>
    <col min="21" max="21" width="11.6328125" style="47" bestFit="1" customWidth="1"/>
    <col min="22" max="22" width="11.6328125" style="7" bestFit="1" customWidth="1"/>
    <col min="23" max="23" width="7.54296875" style="181" bestFit="1" customWidth="1"/>
    <col min="24" max="26" width="10.08984375" style="2" bestFit="1" customWidth="1"/>
    <col min="27" max="16384" width="8.81640625" style="2"/>
  </cols>
  <sheetData>
    <row r="1" spans="1:23" s="1" customFormat="1" x14ac:dyDescent="0.35">
      <c r="A1" s="140" t="s">
        <v>207</v>
      </c>
      <c r="C1" s="141"/>
      <c r="D1" s="176"/>
      <c r="E1" s="220">
        <v>45968</v>
      </c>
      <c r="F1" s="142" t="str">
        <f>TEXT(E1,"dddd")</f>
        <v>Friday</v>
      </c>
      <c r="G1" s="180"/>
      <c r="H1" s="176"/>
      <c r="I1" s="220">
        <v>45967</v>
      </c>
      <c r="J1" s="142" t="s">
        <v>279</v>
      </c>
      <c r="K1" s="180"/>
      <c r="L1" s="176"/>
      <c r="M1" s="220">
        <v>45966</v>
      </c>
      <c r="N1" s="142" t="s">
        <v>278</v>
      </c>
      <c r="O1" s="180"/>
      <c r="P1" s="176"/>
      <c r="Q1" s="220">
        <v>45965</v>
      </c>
      <c r="R1" s="142" t="s">
        <v>277</v>
      </c>
      <c r="S1" s="180"/>
      <c r="T1" s="176"/>
      <c r="U1" s="220">
        <v>45961</v>
      </c>
      <c r="V1" s="142" t="s">
        <v>259</v>
      </c>
      <c r="W1" s="180"/>
    </row>
    <row r="2" spans="1:23" x14ac:dyDescent="0.35">
      <c r="A2" s="139" t="s">
        <v>141</v>
      </c>
      <c r="E2" s="213">
        <v>45971</v>
      </c>
      <c r="F2" s="142" t="str">
        <f>TEXT(E2,"dddd")</f>
        <v>Monday</v>
      </c>
      <c r="I2" s="213">
        <v>45968</v>
      </c>
      <c r="J2" s="142" t="s">
        <v>259</v>
      </c>
      <c r="M2" s="213">
        <v>45967</v>
      </c>
      <c r="N2" s="142" t="s">
        <v>279</v>
      </c>
      <c r="Q2" s="213">
        <v>45966</v>
      </c>
      <c r="R2" s="142" t="s">
        <v>278</v>
      </c>
      <c r="U2" s="213">
        <v>45964</v>
      </c>
      <c r="V2" s="142" t="s">
        <v>253</v>
      </c>
    </row>
    <row r="3" spans="1:23" x14ac:dyDescent="0.35">
      <c r="D3" s="178" t="s">
        <v>102</v>
      </c>
      <c r="E3" s="174"/>
      <c r="H3" s="178" t="s">
        <v>102</v>
      </c>
      <c r="I3" s="174"/>
      <c r="L3" s="178" t="s">
        <v>102</v>
      </c>
      <c r="M3" s="174"/>
      <c r="P3" s="178" t="s">
        <v>102</v>
      </c>
      <c r="Q3" s="174"/>
      <c r="T3" s="178" t="s">
        <v>102</v>
      </c>
      <c r="U3" s="174"/>
    </row>
    <row r="4" spans="1:23" x14ac:dyDescent="0.35">
      <c r="A4" s="9" t="s">
        <v>47</v>
      </c>
      <c r="B4" s="183" t="s">
        <v>98</v>
      </c>
      <c r="C4" s="184" t="s">
        <v>99</v>
      </c>
      <c r="D4" s="178" t="s">
        <v>97</v>
      </c>
      <c r="E4" s="175" t="s">
        <v>1</v>
      </c>
      <c r="F4" s="9" t="s">
        <v>2</v>
      </c>
      <c r="G4" s="182" t="s">
        <v>0</v>
      </c>
      <c r="H4" s="178" t="s">
        <v>97</v>
      </c>
      <c r="I4" s="175" t="s">
        <v>1</v>
      </c>
      <c r="J4" s="9" t="s">
        <v>2</v>
      </c>
      <c r="K4" s="182" t="s">
        <v>0</v>
      </c>
      <c r="L4" s="178" t="s">
        <v>97</v>
      </c>
      <c r="M4" s="175" t="s">
        <v>1</v>
      </c>
      <c r="N4" s="9" t="s">
        <v>2</v>
      </c>
      <c r="O4" s="182" t="s">
        <v>0</v>
      </c>
      <c r="P4" s="178" t="s">
        <v>97</v>
      </c>
      <c r="Q4" s="175" t="s">
        <v>1</v>
      </c>
      <c r="R4" s="9" t="s">
        <v>2</v>
      </c>
      <c r="S4" s="182" t="s">
        <v>0</v>
      </c>
      <c r="T4" s="178" t="s">
        <v>97</v>
      </c>
      <c r="U4" s="175" t="s">
        <v>1</v>
      </c>
      <c r="V4" s="9" t="s">
        <v>2</v>
      </c>
      <c r="W4" s="182" t="s">
        <v>0</v>
      </c>
    </row>
    <row r="5" spans="1:23" x14ac:dyDescent="0.35">
      <c r="A5" s="7">
        <f t="shared" ref="A5:A29" si="0">B5+C5</f>
        <v>46037.006249999999</v>
      </c>
      <c r="B5" s="1">
        <f>Weights!A16</f>
        <v>46037</v>
      </c>
      <c r="C5" s="6">
        <f>Weights!B16</f>
        <v>6.2500000000000003E-3</v>
      </c>
      <c r="D5" s="179">
        <v>42426.146000000001</v>
      </c>
      <c r="E5" s="47">
        <f t="shared" ref="E5:E31" si="1">VLOOKUP($B5+$C5,wsj_quotes,10,FALSE)</f>
        <v>99.718750000000014</v>
      </c>
      <c r="F5" s="7">
        <f t="shared" ref="F5:F31" si="2">VLOOKUP($B5+$C5,wsj_quotes,11,FALSE)</f>
        <v>99.749999999999986</v>
      </c>
      <c r="G5" s="90">
        <f t="shared" ref="G5:G31" si="3">VLOOKUP($B5+$C5,wsj_quotes,8,FALSE)/100</f>
        <v>2.0889999999999999E-2</v>
      </c>
      <c r="H5" s="179">
        <v>42426.146000000001</v>
      </c>
      <c r="I5" s="47">
        <v>99.718750000000014</v>
      </c>
      <c r="J5" s="7">
        <v>99.718750000000014</v>
      </c>
      <c r="K5" s="90">
        <v>2.0950000000000003E-2</v>
      </c>
      <c r="L5" s="179">
        <v>42426.146000000001</v>
      </c>
      <c r="M5" s="47">
        <v>99.6875</v>
      </c>
      <c r="N5" s="7">
        <v>99.718750000000014</v>
      </c>
      <c r="O5" s="90">
        <v>2.154E-2</v>
      </c>
      <c r="P5" s="179">
        <v>42426.146000000001</v>
      </c>
      <c r="Q5" s="47">
        <v>99.718750000000014</v>
      </c>
      <c r="R5" s="7">
        <v>99.718750000000014</v>
      </c>
      <c r="S5" s="90">
        <v>2.1170000000000001E-2</v>
      </c>
      <c r="T5" s="179">
        <v>42426.146000000001</v>
      </c>
      <c r="U5" s="47">
        <v>99.718750000000014</v>
      </c>
      <c r="V5" s="7">
        <v>99.718750000000014</v>
      </c>
      <c r="W5" s="90">
        <v>2.0139999999999998E-2</v>
      </c>
    </row>
    <row r="6" spans="1:23" x14ac:dyDescent="0.35">
      <c r="A6" s="7">
        <f t="shared" si="0"/>
        <v>46037.02</v>
      </c>
      <c r="B6" s="1">
        <f>Weights!A17</f>
        <v>46037</v>
      </c>
      <c r="C6" s="6">
        <f>Weights!B17</f>
        <v>0.02</v>
      </c>
      <c r="D6" s="179">
        <v>20000.008000000002</v>
      </c>
      <c r="E6" s="47">
        <f t="shared" si="1"/>
        <v>99.96875</v>
      </c>
      <c r="F6" s="7">
        <f t="shared" si="2"/>
        <v>99.96875</v>
      </c>
      <c r="G6" s="90">
        <f t="shared" si="3"/>
        <v>2.1920000000000002E-2</v>
      </c>
      <c r="H6" s="179">
        <v>20000.008000000002</v>
      </c>
      <c r="I6" s="47">
        <v>99.96875</v>
      </c>
      <c r="J6" s="7">
        <v>99.999999999999972</v>
      </c>
      <c r="K6" s="90">
        <v>2.0619999999999999E-2</v>
      </c>
      <c r="L6" s="179">
        <v>20000.008000000002</v>
      </c>
      <c r="M6" s="47">
        <v>99.96875</v>
      </c>
      <c r="N6" s="7">
        <v>99.96875</v>
      </c>
      <c r="O6" s="90">
        <v>2.121E-2</v>
      </c>
      <c r="P6" s="179">
        <v>20000.008000000002</v>
      </c>
      <c r="Q6" s="47">
        <v>99.96875</v>
      </c>
      <c r="R6" s="7">
        <v>99.96875</v>
      </c>
      <c r="S6" s="90">
        <v>2.085E-2</v>
      </c>
      <c r="T6" s="179">
        <v>20000.008000000002</v>
      </c>
      <c r="U6" s="47">
        <v>99.96875</v>
      </c>
      <c r="V6" s="7">
        <v>99.96875</v>
      </c>
      <c r="W6" s="90">
        <v>2.121E-2</v>
      </c>
    </row>
    <row r="7" spans="1:23" x14ac:dyDescent="0.35">
      <c r="A7" s="7">
        <f t="shared" si="0"/>
        <v>46127.001250000001</v>
      </c>
      <c r="B7" s="1">
        <f>Weights!A18</f>
        <v>46127</v>
      </c>
      <c r="C7" s="6">
        <f>Weights!B18</f>
        <v>1.25E-3</v>
      </c>
      <c r="D7" s="179">
        <v>39866.366000000002</v>
      </c>
      <c r="E7" s="47">
        <f t="shared" si="1"/>
        <v>99.312499999999986</v>
      </c>
      <c r="F7" s="7">
        <f t="shared" si="2"/>
        <v>99.312499999999986</v>
      </c>
      <c r="G7" s="90">
        <f t="shared" si="3"/>
        <v>1.7239999999999998E-2</v>
      </c>
      <c r="H7" s="179">
        <v>39866.366000000002</v>
      </c>
      <c r="I7" s="47">
        <v>99.34375</v>
      </c>
      <c r="J7" s="7">
        <v>99.34375</v>
      </c>
      <c r="K7" s="90">
        <v>1.6369999999999999E-2</v>
      </c>
      <c r="L7" s="179">
        <v>39866.366000000002</v>
      </c>
      <c r="M7" s="47">
        <v>99.34375</v>
      </c>
      <c r="N7" s="7">
        <v>99.34375</v>
      </c>
      <c r="O7" s="90">
        <v>1.6379999999999999E-2</v>
      </c>
      <c r="P7" s="179">
        <v>39866.366000000002</v>
      </c>
      <c r="Q7" s="47">
        <v>99.375000000000014</v>
      </c>
      <c r="R7" s="7">
        <v>99.375000000000014</v>
      </c>
      <c r="S7" s="90">
        <v>1.55E-2</v>
      </c>
      <c r="T7" s="179">
        <v>39866.366000000002</v>
      </c>
      <c r="U7" s="47">
        <v>99.34375</v>
      </c>
      <c r="V7" s="7">
        <v>99.34375</v>
      </c>
      <c r="W7" s="90">
        <v>1.576E-2</v>
      </c>
    </row>
    <row r="8" spans="1:23" x14ac:dyDescent="0.35">
      <c r="A8" s="7">
        <f t="shared" si="0"/>
        <v>46218.001250000001</v>
      </c>
      <c r="B8" s="1">
        <f>Weights!A19</f>
        <v>46218</v>
      </c>
      <c r="C8" s="6">
        <f>Weights!B19</f>
        <v>1.25E-3</v>
      </c>
      <c r="D8" s="179">
        <v>36841.337</v>
      </c>
      <c r="E8" s="47">
        <f t="shared" si="1"/>
        <v>99.406249999999986</v>
      </c>
      <c r="F8" s="7">
        <f t="shared" si="2"/>
        <v>99.4375</v>
      </c>
      <c r="G8" s="90">
        <f t="shared" si="3"/>
        <v>9.7400000000000004E-3</v>
      </c>
      <c r="H8" s="179">
        <v>36841.337</v>
      </c>
      <c r="I8" s="47">
        <v>99.4375</v>
      </c>
      <c r="J8" s="7">
        <v>99.4375</v>
      </c>
      <c r="K8" s="90">
        <v>9.3200000000000002E-3</v>
      </c>
      <c r="L8" s="179">
        <v>36841.337</v>
      </c>
      <c r="M8" s="47">
        <v>99.4375</v>
      </c>
      <c r="N8" s="7">
        <v>99.468750000000014</v>
      </c>
      <c r="O8" s="90">
        <v>9.1800000000000007E-3</v>
      </c>
      <c r="P8" s="179">
        <v>36841.337</v>
      </c>
      <c r="Q8" s="47">
        <v>99.499999999999986</v>
      </c>
      <c r="R8" s="7">
        <v>99.499999999999986</v>
      </c>
      <c r="S8" s="90">
        <v>8.4700000000000001E-3</v>
      </c>
      <c r="T8" s="179">
        <v>36841.337</v>
      </c>
      <c r="U8" s="47">
        <v>99.468750000000014</v>
      </c>
      <c r="V8" s="7">
        <v>99.468750000000014</v>
      </c>
      <c r="W8" s="90">
        <v>8.7899999999999992E-3</v>
      </c>
    </row>
    <row r="9" spans="1:23" x14ac:dyDescent="0.35">
      <c r="A9" s="7">
        <f t="shared" si="0"/>
        <v>46310.001250000001</v>
      </c>
      <c r="B9" s="1">
        <f>Weights!A20</f>
        <v>46310</v>
      </c>
      <c r="C9" s="6">
        <f>Weights!B20</f>
        <v>1.25E-3</v>
      </c>
      <c r="D9" s="179">
        <v>38309.758999999998</v>
      </c>
      <c r="E9" s="47">
        <f t="shared" si="1"/>
        <v>99.1875</v>
      </c>
      <c r="F9" s="7">
        <f t="shared" si="2"/>
        <v>99.1875</v>
      </c>
      <c r="G9" s="90">
        <f t="shared" si="3"/>
        <v>1.004E-2</v>
      </c>
      <c r="H9" s="179">
        <v>38309.758999999998</v>
      </c>
      <c r="I9" s="47">
        <v>99.156249999999986</v>
      </c>
      <c r="J9" s="7">
        <v>99.1875</v>
      </c>
      <c r="K9" s="90">
        <v>1.0049999999999998E-2</v>
      </c>
      <c r="L9" s="179">
        <v>38309.758999999998</v>
      </c>
      <c r="M9" s="47">
        <v>99.1875</v>
      </c>
      <c r="N9" s="7">
        <v>99.1875</v>
      </c>
      <c r="O9" s="90">
        <v>9.9100000000000004E-3</v>
      </c>
      <c r="P9" s="179">
        <v>38309.758999999998</v>
      </c>
      <c r="Q9" s="47">
        <v>99.25</v>
      </c>
      <c r="R9" s="7">
        <v>99.25</v>
      </c>
      <c r="S9" s="90">
        <v>9.130000000000001E-3</v>
      </c>
      <c r="T9" s="179">
        <v>38309.758999999998</v>
      </c>
      <c r="U9" s="47">
        <v>99.1875</v>
      </c>
      <c r="V9" s="7">
        <v>99.218749999999972</v>
      </c>
      <c r="W9" s="90">
        <v>9.6399999999999993E-3</v>
      </c>
    </row>
    <row r="10" spans="1:23" x14ac:dyDescent="0.35">
      <c r="A10" s="7">
        <f t="shared" si="0"/>
        <v>46402.003750000003</v>
      </c>
      <c r="B10" s="1">
        <f>Weights!A21</f>
        <v>46402</v>
      </c>
      <c r="C10" s="6">
        <f>Weights!B21</f>
        <v>3.7499999999999999E-3</v>
      </c>
      <c r="D10" s="179">
        <v>38479.618000000002</v>
      </c>
      <c r="E10" s="47">
        <f t="shared" si="1"/>
        <v>98.906250000000014</v>
      </c>
      <c r="F10" s="7">
        <f t="shared" si="2"/>
        <v>98.906250000000014</v>
      </c>
      <c r="G10" s="90">
        <f t="shared" si="3"/>
        <v>1.3040000000000001E-2</v>
      </c>
      <c r="H10" s="179">
        <v>38479.618000000002</v>
      </c>
      <c r="I10" s="47">
        <v>98.906250000000014</v>
      </c>
      <c r="J10" s="7">
        <v>98.937499999999986</v>
      </c>
      <c r="K10" s="90">
        <v>1.282E-2</v>
      </c>
      <c r="L10" s="179">
        <v>38479.618000000002</v>
      </c>
      <c r="M10" s="47">
        <v>98.906250000000014</v>
      </c>
      <c r="N10" s="7">
        <v>98.937499999999986</v>
      </c>
      <c r="O10" s="90">
        <v>1.2840000000000001E-2</v>
      </c>
      <c r="P10" s="179">
        <v>38479.618000000002</v>
      </c>
      <c r="Q10" s="47">
        <v>98.999999999999972</v>
      </c>
      <c r="R10" s="7">
        <v>99</v>
      </c>
      <c r="S10" s="90">
        <v>1.2150000000000001E-2</v>
      </c>
      <c r="T10" s="179">
        <v>38479.618000000002</v>
      </c>
      <c r="U10" s="47">
        <v>98.937499999999986</v>
      </c>
      <c r="V10" s="7">
        <v>98.937499999999986</v>
      </c>
      <c r="W10" s="90">
        <v>1.2669999999999999E-2</v>
      </c>
    </row>
    <row r="11" spans="1:23" x14ac:dyDescent="0.35">
      <c r="A11" s="7">
        <f t="shared" si="0"/>
        <v>46402.02375</v>
      </c>
      <c r="B11" s="1">
        <f>Weights!A22</f>
        <v>46402</v>
      </c>
      <c r="C11" s="6">
        <f>Weights!B22</f>
        <v>2.375E-2</v>
      </c>
      <c r="D11" s="179">
        <v>16482.433000000001</v>
      </c>
      <c r="E11" s="47">
        <f t="shared" si="1"/>
        <v>101.21874999999997</v>
      </c>
      <c r="F11" s="7">
        <f t="shared" si="2"/>
        <v>101.25</v>
      </c>
      <c r="G11" s="90">
        <f t="shared" si="3"/>
        <v>1.307E-2</v>
      </c>
      <c r="H11" s="179">
        <v>16482.433000000001</v>
      </c>
      <c r="I11" s="47">
        <v>101.28125000000001</v>
      </c>
      <c r="J11" s="7">
        <v>101.28125000000001</v>
      </c>
      <c r="K11" s="90">
        <v>1.2760000000000001E-2</v>
      </c>
      <c r="L11" s="179">
        <v>16482.433000000001</v>
      </c>
      <c r="M11" s="47">
        <v>101.28125000000001</v>
      </c>
      <c r="N11" s="7">
        <v>101.31249999999999</v>
      </c>
      <c r="O11" s="90">
        <v>1.2729999999999998E-2</v>
      </c>
      <c r="P11" s="179">
        <v>16482.433000000001</v>
      </c>
      <c r="Q11" s="47">
        <v>101.34375</v>
      </c>
      <c r="R11" s="7">
        <v>101.37500000000001</v>
      </c>
      <c r="S11" s="90">
        <v>1.2110000000000001E-2</v>
      </c>
      <c r="T11" s="179">
        <v>16482.433000000001</v>
      </c>
      <c r="U11" s="47">
        <v>101.31249999999999</v>
      </c>
      <c r="V11" s="7">
        <v>101.31249999999999</v>
      </c>
      <c r="W11" s="90">
        <v>1.2549999999999999E-2</v>
      </c>
    </row>
    <row r="12" spans="1:23" x14ac:dyDescent="0.35">
      <c r="A12" s="7">
        <f t="shared" si="0"/>
        <v>46492.001250000001</v>
      </c>
      <c r="B12" s="1">
        <f>Weights!A23</f>
        <v>46492</v>
      </c>
      <c r="C12" s="6">
        <f>Weights!B23</f>
        <v>1.25E-3</v>
      </c>
      <c r="D12" s="179">
        <v>39375.932000000001</v>
      </c>
      <c r="E12" s="47">
        <f t="shared" si="1"/>
        <v>98.25</v>
      </c>
      <c r="F12" s="7">
        <f t="shared" si="2"/>
        <v>98.281250000000014</v>
      </c>
      <c r="G12" s="90">
        <f t="shared" si="3"/>
        <v>1.345E-2</v>
      </c>
      <c r="H12" s="179">
        <v>39375.932000000001</v>
      </c>
      <c r="I12" s="47">
        <v>98.312499999999986</v>
      </c>
      <c r="J12" s="7">
        <v>98.312499999999986</v>
      </c>
      <c r="K12" s="90">
        <v>1.307E-2</v>
      </c>
      <c r="L12" s="179">
        <v>39375.932000000001</v>
      </c>
      <c r="M12" s="47">
        <v>98.281250000000014</v>
      </c>
      <c r="N12" s="7">
        <v>98.312499999999986</v>
      </c>
      <c r="O12" s="90">
        <v>1.3220000000000001E-2</v>
      </c>
      <c r="P12" s="179">
        <v>39375.932000000001</v>
      </c>
      <c r="Q12" s="47">
        <v>98.375000000000014</v>
      </c>
      <c r="R12" s="7">
        <v>98.375000000000014</v>
      </c>
      <c r="S12" s="90">
        <v>1.26E-2</v>
      </c>
      <c r="T12" s="179">
        <v>39375.932000000001</v>
      </c>
      <c r="U12" s="47">
        <v>98.281250000000014</v>
      </c>
      <c r="V12" s="7">
        <v>98.312499999999986</v>
      </c>
      <c r="W12" s="90">
        <v>1.3040000000000001E-2</v>
      </c>
    </row>
    <row r="13" spans="1:23" x14ac:dyDescent="0.35">
      <c r="A13" s="7">
        <f t="shared" si="0"/>
        <v>46583.003750000003</v>
      </c>
      <c r="B13" s="1">
        <f>Weights!A24</f>
        <v>46583</v>
      </c>
      <c r="C13" s="6">
        <f>Weights!B24</f>
        <v>3.7499999999999999E-3</v>
      </c>
      <c r="D13" s="179">
        <v>36918.699000000001</v>
      </c>
      <c r="E13" s="47">
        <f t="shared" si="1"/>
        <v>98.96875</v>
      </c>
      <c r="F13" s="7">
        <f t="shared" si="2"/>
        <v>98.999999999999972</v>
      </c>
      <c r="G13" s="90">
        <f t="shared" si="3"/>
        <v>9.7800000000000005E-3</v>
      </c>
      <c r="H13" s="179">
        <v>36918.699000000001</v>
      </c>
      <c r="I13" s="47">
        <v>98.999999999999972</v>
      </c>
      <c r="J13" s="7">
        <v>99.031250000000014</v>
      </c>
      <c r="K13" s="90">
        <v>9.5999999999999992E-3</v>
      </c>
      <c r="L13" s="179">
        <v>36918.699000000001</v>
      </c>
      <c r="M13" s="47">
        <v>98.96875</v>
      </c>
      <c r="N13" s="7">
        <v>99</v>
      </c>
      <c r="O13" s="90">
        <v>9.689999999999999E-3</v>
      </c>
      <c r="P13" s="179">
        <v>36918.699000000001</v>
      </c>
      <c r="Q13" s="47">
        <v>99.062499999999986</v>
      </c>
      <c r="R13" s="7">
        <v>99.09375</v>
      </c>
      <c r="S13" s="90">
        <v>9.11E-3</v>
      </c>
      <c r="T13" s="179">
        <v>36918.699000000001</v>
      </c>
      <c r="U13" s="47">
        <v>99</v>
      </c>
      <c r="V13" s="7">
        <v>99.031250000000014</v>
      </c>
      <c r="W13" s="90">
        <v>9.4999999999999998E-3</v>
      </c>
    </row>
    <row r="14" spans="1:23" x14ac:dyDescent="0.35">
      <c r="A14" s="7">
        <f t="shared" si="0"/>
        <v>46675.016250000001</v>
      </c>
      <c r="B14" s="1">
        <f>Weights!A25</f>
        <v>46675</v>
      </c>
      <c r="C14" s="6">
        <f>Weights!B25</f>
        <v>1.6250000000000001E-2</v>
      </c>
      <c r="D14" s="179">
        <v>40000</v>
      </c>
      <c r="E14" s="47">
        <f t="shared" si="1"/>
        <v>101.09375</v>
      </c>
      <c r="F14" s="7">
        <f t="shared" si="2"/>
        <v>101.12500000000001</v>
      </c>
      <c r="G14" s="90">
        <f t="shared" si="3"/>
        <v>1.031E-2</v>
      </c>
      <c r="H14" s="179">
        <v>40000</v>
      </c>
      <c r="I14" s="47">
        <v>101.1875</v>
      </c>
      <c r="J14" s="7">
        <v>101.1875</v>
      </c>
      <c r="K14" s="90">
        <v>9.9699999999999997E-3</v>
      </c>
      <c r="L14" s="179">
        <v>40000</v>
      </c>
      <c r="M14" s="47">
        <v>101.12500000000001</v>
      </c>
      <c r="N14" s="7">
        <v>101.15624999999999</v>
      </c>
      <c r="O14" s="90">
        <v>1.0149999999999999E-2</v>
      </c>
      <c r="P14" s="179">
        <v>40000</v>
      </c>
      <c r="Q14" s="47">
        <v>101.25</v>
      </c>
      <c r="R14" s="7">
        <v>101.28125000000001</v>
      </c>
      <c r="S14" s="90">
        <v>9.5300000000000003E-3</v>
      </c>
      <c r="T14" s="179">
        <v>40000</v>
      </c>
      <c r="U14" s="47">
        <v>101.1875</v>
      </c>
      <c r="V14" s="7">
        <v>101.21874999999997</v>
      </c>
      <c r="W14" s="90">
        <v>9.8700000000000003E-3</v>
      </c>
    </row>
    <row r="15" spans="1:23" x14ac:dyDescent="0.35">
      <c r="A15" s="7">
        <f t="shared" si="0"/>
        <v>46767.004999999997</v>
      </c>
      <c r="B15" s="1">
        <f>Weights!A26</f>
        <v>46767</v>
      </c>
      <c r="C15" s="6">
        <f>Weights!B26</f>
        <v>5.0000000000000001E-3</v>
      </c>
      <c r="D15" s="179">
        <v>38821.510999999999</v>
      </c>
      <c r="E15" s="47">
        <f t="shared" si="1"/>
        <v>98.406249999999986</v>
      </c>
      <c r="F15" s="7">
        <f t="shared" si="2"/>
        <v>98.4375</v>
      </c>
      <c r="G15" s="90">
        <f t="shared" si="3"/>
        <v>1.2319999999999999E-2</v>
      </c>
      <c r="H15" s="179">
        <v>38821.510999999999</v>
      </c>
      <c r="I15" s="47">
        <v>98.468750000000014</v>
      </c>
      <c r="J15" s="7">
        <v>98.499999999999986</v>
      </c>
      <c r="K15" s="90">
        <v>1.2019999999999999E-2</v>
      </c>
      <c r="L15" s="179">
        <v>38821.510999999999</v>
      </c>
      <c r="M15" s="47">
        <v>98.406249999999986</v>
      </c>
      <c r="N15" s="7">
        <v>98.4375</v>
      </c>
      <c r="O15" s="90">
        <v>1.222E-2</v>
      </c>
      <c r="P15" s="179">
        <v>38821.510999999999</v>
      </c>
      <c r="Q15" s="47">
        <v>98.562500000000028</v>
      </c>
      <c r="R15" s="7">
        <v>98.59375</v>
      </c>
      <c r="S15" s="90">
        <v>1.157E-2</v>
      </c>
      <c r="T15" s="179">
        <v>38821.510999999999</v>
      </c>
      <c r="U15" s="47">
        <v>98.468750000000014</v>
      </c>
      <c r="V15" s="7">
        <v>98.499999999999986</v>
      </c>
      <c r="W15" s="90">
        <v>1.191E-2</v>
      </c>
    </row>
    <row r="16" spans="1:23" x14ac:dyDescent="0.35">
      <c r="A16" s="7">
        <f t="shared" si="0"/>
        <v>46767.017500000002</v>
      </c>
      <c r="B16" s="1">
        <f>Weights!A27</f>
        <v>46767</v>
      </c>
      <c r="C16" s="6">
        <f>Weights!B27</f>
        <v>1.7500000000000002E-2</v>
      </c>
      <c r="D16" s="179">
        <v>15635.246999999999</v>
      </c>
      <c r="E16" s="47">
        <f t="shared" si="1"/>
        <v>101.09375</v>
      </c>
      <c r="F16" s="7">
        <f t="shared" si="2"/>
        <v>101.12500000000001</v>
      </c>
      <c r="G16" s="90">
        <f t="shared" si="3"/>
        <v>1.226E-2</v>
      </c>
      <c r="H16" s="179">
        <v>15635.246999999999</v>
      </c>
      <c r="I16" s="47">
        <v>101.15624999999999</v>
      </c>
      <c r="J16" s="7">
        <v>101.1875</v>
      </c>
      <c r="K16" s="90">
        <v>1.1939999999999999E-2</v>
      </c>
      <c r="L16" s="179">
        <v>15635.246999999999</v>
      </c>
      <c r="M16" s="47">
        <v>101.12500000000001</v>
      </c>
      <c r="N16" s="7">
        <v>101.15624999999999</v>
      </c>
      <c r="O16" s="90">
        <v>1.217E-2</v>
      </c>
      <c r="P16" s="179">
        <v>15635.246999999999</v>
      </c>
      <c r="Q16" s="47">
        <v>101.25</v>
      </c>
      <c r="R16" s="7">
        <v>101.28125000000001</v>
      </c>
      <c r="S16" s="90">
        <v>1.149E-2</v>
      </c>
      <c r="T16" s="179">
        <v>15635.246999999999</v>
      </c>
      <c r="U16" s="47">
        <v>101.1875</v>
      </c>
      <c r="V16" s="7">
        <v>101.21874999999997</v>
      </c>
      <c r="W16" s="90">
        <v>1.1930000000000001E-2</v>
      </c>
    </row>
    <row r="17" spans="1:23" x14ac:dyDescent="0.35">
      <c r="A17" s="7">
        <f t="shared" si="0"/>
        <v>46858.012499999997</v>
      </c>
      <c r="B17" s="1">
        <f>Weights!A28</f>
        <v>46858</v>
      </c>
      <c r="C17" s="6">
        <f>Weights!B28</f>
        <v>1.2500000000000001E-2</v>
      </c>
      <c r="D17" s="179">
        <v>40000.173000000003</v>
      </c>
      <c r="E17" s="47">
        <f t="shared" si="1"/>
        <v>99.906250000000014</v>
      </c>
      <c r="F17" s="7">
        <f t="shared" si="2"/>
        <v>99.937499999999986</v>
      </c>
      <c r="G17" s="90">
        <f t="shared" si="3"/>
        <v>1.278E-2</v>
      </c>
      <c r="H17" s="179">
        <v>40000.173000000003</v>
      </c>
      <c r="I17" s="47">
        <v>99.96875</v>
      </c>
      <c r="J17" s="7">
        <v>99.999999999999972</v>
      </c>
      <c r="K17" s="90">
        <v>1.2549999999999999E-2</v>
      </c>
      <c r="L17" s="179">
        <v>40000.173000000003</v>
      </c>
      <c r="M17" s="47">
        <v>99.875</v>
      </c>
      <c r="N17" s="7">
        <v>99.937499999999986</v>
      </c>
      <c r="O17" s="90">
        <v>1.282E-2</v>
      </c>
      <c r="P17" s="179">
        <v>40000.173000000003</v>
      </c>
      <c r="Q17" s="47">
        <v>100.03125000000001</v>
      </c>
      <c r="R17" s="7">
        <v>100.09375</v>
      </c>
      <c r="S17" s="90">
        <v>1.2159999999999999E-2</v>
      </c>
      <c r="T17" s="179">
        <v>40000.173000000003</v>
      </c>
      <c r="U17" s="47">
        <v>99.96875</v>
      </c>
      <c r="V17" s="7">
        <v>99.999999999999972</v>
      </c>
      <c r="W17" s="90">
        <v>1.2529999999999999E-2</v>
      </c>
    </row>
    <row r="18" spans="1:23" x14ac:dyDescent="0.35">
      <c r="A18" s="7">
        <f t="shared" si="0"/>
        <v>46858.036249999997</v>
      </c>
      <c r="B18" s="1">
        <f>Weights!A29</f>
        <v>46858</v>
      </c>
      <c r="C18" s="6">
        <f>Weights!B29</f>
        <v>3.6249999999999998E-2</v>
      </c>
      <c r="D18" s="179">
        <v>16806.174999999999</v>
      </c>
      <c r="E18" s="47">
        <f t="shared" si="1"/>
        <v>105.59375</v>
      </c>
      <c r="F18" s="7">
        <f t="shared" si="2"/>
        <v>105.62500000000001</v>
      </c>
      <c r="G18" s="90">
        <f t="shared" si="3"/>
        <v>1.264E-2</v>
      </c>
      <c r="H18" s="179">
        <v>16806.174999999999</v>
      </c>
      <c r="I18" s="47">
        <v>105.6875</v>
      </c>
      <c r="J18" s="7">
        <v>105.71875000000001</v>
      </c>
      <c r="K18" s="90">
        <v>1.238E-2</v>
      </c>
      <c r="L18" s="179">
        <v>16806.174999999999</v>
      </c>
      <c r="M18" s="47">
        <v>105.62500000000001</v>
      </c>
      <c r="N18" s="7">
        <v>105.65624999999999</v>
      </c>
      <c r="O18" s="90">
        <v>1.264E-2</v>
      </c>
      <c r="P18" s="179">
        <v>16806.174999999999</v>
      </c>
      <c r="Q18" s="47">
        <v>105.78125</v>
      </c>
      <c r="R18" s="7">
        <v>105.84374999999999</v>
      </c>
      <c r="S18" s="90">
        <v>1.1939999999999999E-2</v>
      </c>
      <c r="T18" s="179">
        <v>16806.174999999999</v>
      </c>
      <c r="U18" s="47">
        <v>105.71875000000001</v>
      </c>
      <c r="V18" s="7">
        <v>105.74999999999999</v>
      </c>
      <c r="W18" s="90">
        <v>1.2330000000000001E-2</v>
      </c>
    </row>
    <row r="19" spans="1:23" x14ac:dyDescent="0.35">
      <c r="A19" s="7">
        <f t="shared" si="0"/>
        <v>46949.0075</v>
      </c>
      <c r="B19" s="1">
        <f>Weights!A30</f>
        <v>46949</v>
      </c>
      <c r="C19" s="6">
        <f>Weights!B30</f>
        <v>7.4999999999999997E-3</v>
      </c>
      <c r="D19" s="179">
        <v>36671.908000000003</v>
      </c>
      <c r="E19" s="47">
        <f t="shared" si="1"/>
        <v>99.062499999999986</v>
      </c>
      <c r="F19" s="7">
        <f t="shared" si="2"/>
        <v>99.125000000000014</v>
      </c>
      <c r="G19" s="90">
        <f t="shared" si="3"/>
        <v>1.0869999999999999E-2</v>
      </c>
      <c r="H19" s="179">
        <v>36671.908000000003</v>
      </c>
      <c r="I19" s="47">
        <v>99.125000000000014</v>
      </c>
      <c r="J19" s="7">
        <v>99.1875</v>
      </c>
      <c r="K19" s="90">
        <v>1.0629999999999999E-2</v>
      </c>
      <c r="L19" s="179">
        <v>36671.908000000003</v>
      </c>
      <c r="M19" s="47">
        <v>99.062499999999986</v>
      </c>
      <c r="N19" s="7">
        <v>99.09375</v>
      </c>
      <c r="O19" s="90">
        <v>1.095E-2</v>
      </c>
      <c r="P19" s="179">
        <v>36671.908000000003</v>
      </c>
      <c r="Q19" s="47">
        <v>99.218749999999972</v>
      </c>
      <c r="R19" s="7">
        <v>99.25</v>
      </c>
      <c r="S19" s="90">
        <v>1.03E-2</v>
      </c>
      <c r="T19" s="179">
        <v>36671.908000000003</v>
      </c>
      <c r="U19" s="47">
        <v>99.125000000000014</v>
      </c>
      <c r="V19" s="7">
        <v>99.1875</v>
      </c>
      <c r="W19" s="90">
        <v>1.061E-2</v>
      </c>
    </row>
    <row r="20" spans="1:23" x14ac:dyDescent="0.35">
      <c r="A20" s="7">
        <f t="shared" si="0"/>
        <v>47041.02375</v>
      </c>
      <c r="B20" s="1">
        <f>Weights!A31</f>
        <v>47041</v>
      </c>
      <c r="C20" s="6">
        <f>Weights!B31</f>
        <v>2.375E-2</v>
      </c>
      <c r="D20" s="179">
        <v>42000.059000000001</v>
      </c>
      <c r="E20" s="47">
        <f t="shared" si="1"/>
        <v>103.49999999999999</v>
      </c>
      <c r="F20" s="7">
        <f t="shared" si="2"/>
        <v>103.53125</v>
      </c>
      <c r="G20" s="90">
        <f t="shared" si="3"/>
        <v>1.141E-2</v>
      </c>
      <c r="H20" s="179">
        <v>42000.059000000001</v>
      </c>
      <c r="I20" s="47">
        <v>103.56250000000003</v>
      </c>
      <c r="J20" s="7">
        <v>103.62500000000001</v>
      </c>
      <c r="K20" s="90">
        <v>1.119E-2</v>
      </c>
      <c r="L20" s="179">
        <v>42000.059000000001</v>
      </c>
      <c r="M20" s="47">
        <v>103.49999999999999</v>
      </c>
      <c r="N20" s="7">
        <v>103.53125</v>
      </c>
      <c r="O20" s="90">
        <v>1.146E-2</v>
      </c>
      <c r="P20" s="179">
        <v>42000.059000000001</v>
      </c>
      <c r="Q20" s="47">
        <v>103.6875</v>
      </c>
      <c r="R20" s="7">
        <v>103.71875000000001</v>
      </c>
      <c r="S20" s="90">
        <v>1.0860000000000002E-2</v>
      </c>
      <c r="T20" s="179">
        <v>42000.059000000001</v>
      </c>
      <c r="U20" s="47">
        <v>103.59375</v>
      </c>
      <c r="V20" s="7">
        <v>103.65624999999999</v>
      </c>
      <c r="W20" s="90">
        <v>1.1129999999999999E-2</v>
      </c>
    </row>
    <row r="21" spans="1:23" x14ac:dyDescent="0.35">
      <c r="A21" s="7">
        <f t="shared" si="0"/>
        <v>47133.008750000001</v>
      </c>
      <c r="B21" s="1">
        <f>Weights!A32</f>
        <v>47133</v>
      </c>
      <c r="C21" s="6">
        <f>Weights!B32</f>
        <v>8.7500000000000008E-3</v>
      </c>
      <c r="D21" s="179">
        <v>36155.544000000002</v>
      </c>
      <c r="E21" s="47">
        <f t="shared" si="1"/>
        <v>98.812500000000014</v>
      </c>
      <c r="F21" s="7">
        <f t="shared" si="2"/>
        <v>98.875</v>
      </c>
      <c r="G21" s="90">
        <f t="shared" si="3"/>
        <v>1.242E-2</v>
      </c>
      <c r="H21" s="179">
        <v>36155.544000000002</v>
      </c>
      <c r="I21" s="47">
        <v>98.875</v>
      </c>
      <c r="J21" s="7">
        <v>98.906250000000014</v>
      </c>
      <c r="K21" s="90">
        <v>1.222E-2</v>
      </c>
      <c r="L21" s="179">
        <v>36155.544000000002</v>
      </c>
      <c r="M21" s="47">
        <v>98.749999999999986</v>
      </c>
      <c r="N21" s="7">
        <v>98.812500000000014</v>
      </c>
      <c r="O21" s="90">
        <v>1.257E-2</v>
      </c>
      <c r="P21" s="179">
        <v>36155.544000000002</v>
      </c>
      <c r="Q21" s="47">
        <v>98.96875</v>
      </c>
      <c r="R21" s="7">
        <v>99</v>
      </c>
      <c r="S21" s="90">
        <v>1.1930000000000001E-2</v>
      </c>
      <c r="T21" s="179">
        <v>36155.544000000002</v>
      </c>
      <c r="U21" s="47">
        <v>98.843749999999986</v>
      </c>
      <c r="V21" s="7">
        <v>98.906250000000014</v>
      </c>
      <c r="W21" s="90">
        <v>1.226E-2</v>
      </c>
    </row>
    <row r="22" spans="1:23" x14ac:dyDescent="0.35">
      <c r="A22" s="7">
        <f t="shared" si="0"/>
        <v>47133.025000000001</v>
      </c>
      <c r="B22" s="1">
        <f>Weights!A33</f>
        <v>47133</v>
      </c>
      <c r="C22" s="6">
        <f>Weights!B33</f>
        <v>2.5000000000000001E-2</v>
      </c>
      <c r="D22" s="179">
        <v>14150.305</v>
      </c>
      <c r="E22" s="47">
        <f t="shared" si="1"/>
        <v>103.875</v>
      </c>
      <c r="F22" s="7">
        <f t="shared" si="2"/>
        <v>103.90625000000001</v>
      </c>
      <c r="G22" s="90">
        <f t="shared" si="3"/>
        <v>1.2390000000000002E-2</v>
      </c>
      <c r="H22" s="179">
        <v>14150.305</v>
      </c>
      <c r="I22" s="47">
        <v>103.93749999999999</v>
      </c>
      <c r="J22" s="7">
        <v>103.96875</v>
      </c>
      <c r="K22" s="90">
        <v>1.226E-2</v>
      </c>
      <c r="L22" s="179">
        <v>14150.305</v>
      </c>
      <c r="M22" s="47">
        <v>103.84374999999999</v>
      </c>
      <c r="N22" s="7">
        <v>103.90625000000001</v>
      </c>
      <c r="O22" s="90">
        <v>1.2509999999999999E-2</v>
      </c>
      <c r="P22" s="179">
        <v>14150.305</v>
      </c>
      <c r="Q22" s="47">
        <v>104.06249999999999</v>
      </c>
      <c r="R22" s="7">
        <v>104.09375</v>
      </c>
      <c r="S22" s="90">
        <v>1.188E-2</v>
      </c>
      <c r="T22" s="179">
        <v>14150.305</v>
      </c>
      <c r="U22" s="47">
        <v>103.96875</v>
      </c>
      <c r="V22" s="7">
        <v>104</v>
      </c>
      <c r="W22" s="90">
        <v>1.218E-2</v>
      </c>
    </row>
    <row r="23" spans="1:23" x14ac:dyDescent="0.35">
      <c r="A23" s="7">
        <f t="shared" si="0"/>
        <v>47223.021249999998</v>
      </c>
      <c r="B23" s="1">
        <f>Weights!A34</f>
        <v>47223</v>
      </c>
      <c r="C23" s="6">
        <f>Weights!B34</f>
        <v>2.1250000000000002E-2</v>
      </c>
      <c r="D23" s="179">
        <v>44109.654999999999</v>
      </c>
      <c r="E23" s="47">
        <f t="shared" si="1"/>
        <v>102.65624999999999</v>
      </c>
      <c r="F23" s="7">
        <f t="shared" si="2"/>
        <v>102.71875000000001</v>
      </c>
      <c r="G23" s="90">
        <f t="shared" si="3"/>
        <v>1.315E-2</v>
      </c>
      <c r="H23" s="179">
        <v>44109.654999999999</v>
      </c>
      <c r="I23" s="47">
        <v>102.74999999999999</v>
      </c>
      <c r="J23" s="7">
        <v>102.78125</v>
      </c>
      <c r="K23" s="90">
        <v>1.294E-2</v>
      </c>
      <c r="L23" s="179">
        <v>44109.654999999999</v>
      </c>
      <c r="M23" s="47">
        <v>102.62500000000001</v>
      </c>
      <c r="N23" s="7">
        <v>102.65624999999999</v>
      </c>
      <c r="O23" s="90">
        <v>1.3309999999999999E-2</v>
      </c>
      <c r="P23" s="179">
        <v>44109.654999999999</v>
      </c>
      <c r="Q23" s="47">
        <v>102.81250000000001</v>
      </c>
      <c r="R23" s="7">
        <v>102.875</v>
      </c>
      <c r="S23" s="90">
        <v>1.272E-2</v>
      </c>
      <c r="T23" s="179">
        <v>44109.654999999999</v>
      </c>
      <c r="U23" s="47">
        <v>102.74999999999999</v>
      </c>
      <c r="V23" s="7">
        <v>102.78125</v>
      </c>
      <c r="W23" s="90">
        <v>1.2960000000000001E-2</v>
      </c>
    </row>
    <row r="24" spans="1:23" x14ac:dyDescent="0.35">
      <c r="A24" s="7">
        <f t="shared" si="0"/>
        <v>47223.03875</v>
      </c>
      <c r="B24" s="1">
        <f>Weights!A35</f>
        <v>47223</v>
      </c>
      <c r="C24" s="6">
        <f>Weights!B35</f>
        <v>3.875E-2</v>
      </c>
      <c r="D24" s="179">
        <v>19718.960999999999</v>
      </c>
      <c r="E24" s="47">
        <f t="shared" si="1"/>
        <v>108.53125</v>
      </c>
      <c r="F24" s="7">
        <f t="shared" si="2"/>
        <v>108.59375</v>
      </c>
      <c r="G24" s="90">
        <f t="shared" si="3"/>
        <v>1.306E-2</v>
      </c>
      <c r="H24" s="179">
        <v>19718.960999999999</v>
      </c>
      <c r="I24" s="47">
        <v>108.62500000000001</v>
      </c>
      <c r="J24" s="7">
        <v>108.65624999999999</v>
      </c>
      <c r="K24" s="90">
        <v>1.2880000000000001E-2</v>
      </c>
      <c r="L24" s="179">
        <v>19718.960999999999</v>
      </c>
      <c r="M24" s="47">
        <v>108.49999999999999</v>
      </c>
      <c r="N24" s="7">
        <v>108.53125</v>
      </c>
      <c r="O24" s="90">
        <v>1.3269999999999999E-2</v>
      </c>
      <c r="P24" s="179">
        <v>19718.960999999999</v>
      </c>
      <c r="Q24" s="47">
        <v>108.6875</v>
      </c>
      <c r="R24" s="7">
        <v>108.74999999999999</v>
      </c>
      <c r="S24" s="90">
        <v>1.2699999999999999E-2</v>
      </c>
      <c r="T24" s="179">
        <v>19718.960999999999</v>
      </c>
      <c r="U24" s="47">
        <v>108.65624999999999</v>
      </c>
      <c r="V24" s="7">
        <v>108.6875</v>
      </c>
      <c r="W24" s="90">
        <v>1.286E-2</v>
      </c>
    </row>
    <row r="25" spans="1:23" x14ac:dyDescent="0.35">
      <c r="A25" s="7">
        <f t="shared" si="0"/>
        <v>47314.002500000002</v>
      </c>
      <c r="B25" s="1">
        <f>Weights!A36</f>
        <v>47314</v>
      </c>
      <c r="C25" s="6">
        <f>Weights!B36</f>
        <v>2.5000000000000001E-3</v>
      </c>
      <c r="D25" s="179">
        <v>39802.749000000003</v>
      </c>
      <c r="E25" s="47">
        <f t="shared" si="1"/>
        <v>96.656249999999986</v>
      </c>
      <c r="F25" s="7">
        <f t="shared" si="2"/>
        <v>96.718750000000014</v>
      </c>
      <c r="G25" s="90">
        <f t="shared" si="3"/>
        <v>1.1659999999999998E-2</v>
      </c>
      <c r="H25" s="179">
        <v>39802.749000000003</v>
      </c>
      <c r="I25" s="47">
        <v>96.718750000000014</v>
      </c>
      <c r="J25" s="7">
        <v>96.78125</v>
      </c>
      <c r="K25" s="90">
        <v>1.1470000000000001E-2</v>
      </c>
      <c r="L25" s="179">
        <v>39802.749000000003</v>
      </c>
      <c r="M25" s="47">
        <v>96.562500000000028</v>
      </c>
      <c r="N25" s="7">
        <v>96.625000000000014</v>
      </c>
      <c r="O25" s="90">
        <v>1.1899999999999999E-2</v>
      </c>
      <c r="P25" s="179">
        <v>39802.749000000003</v>
      </c>
      <c r="Q25" s="47">
        <v>96.78125</v>
      </c>
      <c r="R25" s="7">
        <v>96.812500000000014</v>
      </c>
      <c r="S25" s="90">
        <v>1.1310000000000001E-2</v>
      </c>
      <c r="T25" s="179">
        <v>39802.749000000003</v>
      </c>
      <c r="U25" s="47">
        <v>96.718750000000014</v>
      </c>
      <c r="V25" s="7">
        <v>96.749999999999986</v>
      </c>
      <c r="W25" s="90">
        <v>1.1479999999999999E-2</v>
      </c>
    </row>
    <row r="26" spans="1:23" x14ac:dyDescent="0.35">
      <c r="A26" s="7">
        <f t="shared" si="0"/>
        <v>47406.016250000001</v>
      </c>
      <c r="B26" s="1">
        <f>Weights!A37</f>
        <v>47406</v>
      </c>
      <c r="C26" s="6">
        <f>Weights!B37</f>
        <v>1.6250000000000001E-2</v>
      </c>
      <c r="D26" s="179">
        <v>46621.252999999997</v>
      </c>
      <c r="E26" s="47">
        <f t="shared" si="1"/>
        <v>101.53125</v>
      </c>
      <c r="F26" s="7">
        <f t="shared" si="2"/>
        <v>101.56250000000003</v>
      </c>
      <c r="G26" s="90">
        <f t="shared" si="3"/>
        <v>1.214E-2</v>
      </c>
      <c r="H26" s="179">
        <v>46621.252999999997</v>
      </c>
      <c r="I26" s="47">
        <v>101.56250000000003</v>
      </c>
      <c r="J26" s="7">
        <v>101.62500000000001</v>
      </c>
      <c r="K26" s="90">
        <v>1.2E-2</v>
      </c>
      <c r="L26" s="179">
        <v>46621.252999999997</v>
      </c>
      <c r="M26" s="47">
        <v>101.4375</v>
      </c>
      <c r="N26" s="7">
        <v>101.46875000000001</v>
      </c>
      <c r="O26" s="90">
        <v>1.238E-2</v>
      </c>
      <c r="P26" s="179">
        <v>46621.252999999997</v>
      </c>
      <c r="Q26" s="47">
        <v>101.65624999999999</v>
      </c>
      <c r="R26" s="7">
        <v>101.71875000000001</v>
      </c>
      <c r="S26" s="90">
        <v>1.179E-2</v>
      </c>
      <c r="T26" s="179">
        <v>46621.252999999997</v>
      </c>
      <c r="U26" s="47">
        <v>101.56250000000003</v>
      </c>
      <c r="V26" s="7">
        <v>101.62500000000001</v>
      </c>
      <c r="W26" s="90">
        <v>1.2019999999999999E-2</v>
      </c>
    </row>
    <row r="27" spans="1:23" x14ac:dyDescent="0.35">
      <c r="A27" s="7">
        <f t="shared" si="0"/>
        <v>47498.001250000001</v>
      </c>
      <c r="B27" s="1">
        <f>Weights!A38</f>
        <v>47498</v>
      </c>
      <c r="C27" s="6">
        <f>Weights!B38</f>
        <v>1.25E-3</v>
      </c>
      <c r="D27" s="179">
        <v>41059.044000000002</v>
      </c>
      <c r="E27" s="47">
        <f t="shared" si="1"/>
        <v>95.1875</v>
      </c>
      <c r="F27" s="7">
        <f t="shared" si="2"/>
        <v>95.25</v>
      </c>
      <c r="G27" s="90">
        <f t="shared" si="3"/>
        <v>1.2969999999999999E-2</v>
      </c>
      <c r="H27" s="179">
        <v>41059.044000000002</v>
      </c>
      <c r="I27" s="47">
        <v>95.218749999999972</v>
      </c>
      <c r="J27" s="7">
        <v>95.281250000000014</v>
      </c>
      <c r="K27" s="90">
        <v>1.2869999999999999E-2</v>
      </c>
      <c r="L27" s="179">
        <v>41059.044000000002</v>
      </c>
      <c r="M27" s="47">
        <v>95.062499999999986</v>
      </c>
      <c r="N27" s="7">
        <v>95.125000000000014</v>
      </c>
      <c r="O27" s="90">
        <v>1.3260000000000001E-2</v>
      </c>
      <c r="P27" s="179">
        <v>41059.044000000002</v>
      </c>
      <c r="Q27" s="47">
        <v>95.281250000000014</v>
      </c>
      <c r="R27" s="7">
        <v>95.312499999999986</v>
      </c>
      <c r="S27" s="90">
        <v>1.274E-2</v>
      </c>
      <c r="T27" s="179">
        <v>41059.044000000002</v>
      </c>
      <c r="U27" s="47">
        <v>95.1875</v>
      </c>
      <c r="V27" s="7">
        <v>95.25</v>
      </c>
      <c r="W27" s="90">
        <v>1.2889999999999999E-2</v>
      </c>
    </row>
    <row r="28" spans="1:23" x14ac:dyDescent="0.35">
      <c r="A28" s="7">
        <f t="shared" si="0"/>
        <v>47588.016250000001</v>
      </c>
      <c r="B28" s="1">
        <f>Weights!A39</f>
        <v>47588</v>
      </c>
      <c r="C28" s="6">
        <f>Weights!B39</f>
        <v>1.6250000000000001E-2</v>
      </c>
      <c r="D28" s="179">
        <v>52000.883000000002</v>
      </c>
      <c r="E28" s="47">
        <f t="shared" si="1"/>
        <v>101.09375</v>
      </c>
      <c r="F28" s="7">
        <f t="shared" si="2"/>
        <v>101.15624999999999</v>
      </c>
      <c r="G28" s="90">
        <f t="shared" si="3"/>
        <v>1.3560000000000001E-2</v>
      </c>
      <c r="H28" s="179">
        <v>52000.883000000002</v>
      </c>
      <c r="I28" s="47">
        <v>101.15624999999999</v>
      </c>
      <c r="J28" s="7">
        <v>101.21874999999997</v>
      </c>
      <c r="K28" s="90">
        <v>1.3420000000000001E-2</v>
      </c>
      <c r="L28" s="179">
        <v>52000.883000000002</v>
      </c>
      <c r="M28" s="47">
        <v>100.96875</v>
      </c>
      <c r="N28" s="7">
        <v>101.03125000000001</v>
      </c>
      <c r="O28" s="90">
        <v>1.387E-2</v>
      </c>
      <c r="P28" s="179">
        <v>52000.883000000002</v>
      </c>
      <c r="Q28" s="47">
        <v>101.1875</v>
      </c>
      <c r="R28" s="7">
        <v>101.25</v>
      </c>
      <c r="S28" s="90">
        <v>1.3340000000000001E-2</v>
      </c>
      <c r="T28" s="179">
        <v>52000.883000000002</v>
      </c>
      <c r="U28" s="47">
        <v>101.12500000000001</v>
      </c>
      <c r="V28" s="7">
        <v>101.1875</v>
      </c>
      <c r="W28" s="90">
        <v>1.3460000000000001E-2</v>
      </c>
    </row>
    <row r="29" spans="1:23" x14ac:dyDescent="0.35">
      <c r="A29" s="7">
        <f t="shared" si="0"/>
        <v>47679.001250000001</v>
      </c>
      <c r="B29" s="1">
        <f>Weights!A40</f>
        <v>47679</v>
      </c>
      <c r="C29" s="6">
        <f>Weights!B40</f>
        <v>1.25E-3</v>
      </c>
      <c r="D29" s="179">
        <v>42898.589</v>
      </c>
      <c r="E29" s="47">
        <f t="shared" si="1"/>
        <v>94.812500000000014</v>
      </c>
      <c r="F29" s="7">
        <f t="shared" si="2"/>
        <v>94.875</v>
      </c>
      <c r="G29" s="90">
        <f t="shared" si="3"/>
        <v>1.2549999999999999E-2</v>
      </c>
      <c r="H29" s="179">
        <v>42898.589</v>
      </c>
      <c r="I29" s="47">
        <v>94.843749999999986</v>
      </c>
      <c r="J29" s="7">
        <v>94.906250000000014</v>
      </c>
      <c r="K29" s="90">
        <v>1.2470000000000002E-2</v>
      </c>
      <c r="L29" s="179">
        <v>42898.589</v>
      </c>
      <c r="M29" s="47">
        <v>94.656249999999986</v>
      </c>
      <c r="N29" s="7">
        <v>94.718750000000014</v>
      </c>
      <c r="O29" s="90">
        <v>1.291E-2</v>
      </c>
      <c r="P29" s="179">
        <v>42898.589</v>
      </c>
      <c r="Q29" s="47">
        <v>94.875</v>
      </c>
      <c r="R29" s="7">
        <v>94.937499999999986</v>
      </c>
      <c r="S29" s="90">
        <v>1.238E-2</v>
      </c>
      <c r="T29" s="179">
        <v>42898.589</v>
      </c>
      <c r="U29" s="47">
        <v>94.812500000000014</v>
      </c>
      <c r="V29" s="7">
        <v>94.875</v>
      </c>
      <c r="W29" s="90">
        <v>1.2500000000000001E-2</v>
      </c>
    </row>
    <row r="30" spans="1:23" x14ac:dyDescent="0.35">
      <c r="A30" s="7">
        <f t="shared" ref="A30:A57" si="4">B30+C30</f>
        <v>47771.011250000003</v>
      </c>
      <c r="B30" s="1">
        <f>Weights!A41</f>
        <v>47771</v>
      </c>
      <c r="C30" s="6">
        <f>Weights!B41</f>
        <v>1.125E-2</v>
      </c>
      <c r="D30" s="179">
        <v>27492.981</v>
      </c>
      <c r="E30" s="47">
        <f t="shared" si="1"/>
        <v>99.031250000000014</v>
      </c>
      <c r="F30" s="7">
        <f t="shared" si="2"/>
        <v>99.125000000000014</v>
      </c>
      <c r="G30" s="90">
        <f t="shared" si="3"/>
        <v>1.311E-2</v>
      </c>
      <c r="H30" s="179">
        <v>27492.981</v>
      </c>
      <c r="I30" s="47">
        <v>99.09375</v>
      </c>
      <c r="J30" s="7">
        <v>99.156249999999986</v>
      </c>
      <c r="K30" s="90">
        <v>1.3009999999999999E-2</v>
      </c>
      <c r="L30" s="179">
        <v>27492.981</v>
      </c>
      <c r="M30" s="47">
        <v>98.875</v>
      </c>
      <c r="N30" s="7">
        <v>98.937499999999986</v>
      </c>
      <c r="O30" s="90">
        <v>1.3460000000000001E-2</v>
      </c>
      <c r="P30" s="179">
        <v>27492.981</v>
      </c>
      <c r="Q30" s="47">
        <v>99.156249999999986</v>
      </c>
      <c r="R30" s="7">
        <v>99.218749999999972</v>
      </c>
      <c r="S30" s="90">
        <v>1.29E-2</v>
      </c>
      <c r="T30" s="179">
        <v>0</v>
      </c>
      <c r="U30" s="47">
        <v>0</v>
      </c>
      <c r="V30" s="7">
        <v>0</v>
      </c>
      <c r="W30" s="90">
        <v>0</v>
      </c>
    </row>
    <row r="31" spans="1:23" x14ac:dyDescent="0.35">
      <c r="A31" s="7">
        <f t="shared" si="4"/>
        <v>47863.001250000001</v>
      </c>
      <c r="B31" s="1">
        <f>Weights!A42</f>
        <v>47863</v>
      </c>
      <c r="C31" s="6">
        <f>Weights!B42</f>
        <v>1.25E-3</v>
      </c>
      <c r="D31" s="179">
        <v>43334.498</v>
      </c>
      <c r="E31" s="47">
        <f t="shared" si="1"/>
        <v>93.6875</v>
      </c>
      <c r="F31" s="7">
        <f t="shared" si="2"/>
        <v>93.749999999999986</v>
      </c>
      <c r="G31" s="90">
        <f t="shared" si="3"/>
        <v>1.38E-2</v>
      </c>
      <c r="H31" s="179">
        <v>43334.498</v>
      </c>
      <c r="I31" s="47">
        <v>93.6875</v>
      </c>
      <c r="J31" s="7">
        <v>93.78125</v>
      </c>
      <c r="K31" s="90">
        <v>1.3729999999999999E-2</v>
      </c>
      <c r="L31" s="179">
        <v>43334.498</v>
      </c>
      <c r="M31" s="47">
        <v>93.499999999999986</v>
      </c>
      <c r="N31" s="7">
        <v>93.562500000000028</v>
      </c>
      <c r="O31" s="90">
        <v>1.4150000000000001E-2</v>
      </c>
      <c r="P31" s="179">
        <v>43334.498</v>
      </c>
      <c r="Q31" s="47">
        <v>93.749999999999986</v>
      </c>
      <c r="R31" s="7">
        <v>93.812500000000014</v>
      </c>
      <c r="S31" s="90">
        <v>1.363E-2</v>
      </c>
      <c r="T31" s="179">
        <v>43334.498</v>
      </c>
      <c r="U31" s="47">
        <v>93.6875</v>
      </c>
      <c r="V31" s="7">
        <v>93.749999999999986</v>
      </c>
      <c r="W31" s="90">
        <v>1.376E-2</v>
      </c>
    </row>
    <row r="32" spans="1:23" x14ac:dyDescent="0.35">
      <c r="A32" s="7">
        <f t="shared" si="4"/>
        <v>48044.001250000001</v>
      </c>
      <c r="B32" s="1">
        <f>Weights!A43</f>
        <v>48044</v>
      </c>
      <c r="C32" s="6">
        <f>Weights!B43</f>
        <v>1.25E-3</v>
      </c>
      <c r="D32" s="179">
        <v>46840.116000000002</v>
      </c>
      <c r="E32" s="47">
        <f t="shared" ref="E32:E57" si="5">VLOOKUP($B32+$C32,wsj_quotes,10,FALSE)</f>
        <v>93.09375</v>
      </c>
      <c r="F32" s="7">
        <f t="shared" ref="F32:F57" si="6">VLOOKUP($B32+$C32,wsj_quotes,11,FALSE)</f>
        <v>93.1875</v>
      </c>
      <c r="G32" s="90">
        <f t="shared" ref="G32:G57" si="7">VLOOKUP($B32+$C32,wsj_quotes,8,FALSE)/100</f>
        <v>1.3779999999999999E-2</v>
      </c>
      <c r="H32" s="179">
        <v>46840.116000000002</v>
      </c>
      <c r="I32" s="47">
        <v>93.156249999999986</v>
      </c>
      <c r="J32" s="7">
        <v>93.25</v>
      </c>
      <c r="K32" s="90">
        <v>1.363E-2</v>
      </c>
      <c r="L32" s="179">
        <v>46840.116000000002</v>
      </c>
      <c r="M32" s="47">
        <v>92.937499999999986</v>
      </c>
      <c r="N32" s="7">
        <v>93</v>
      </c>
      <c r="O32" s="90">
        <v>1.4079999999999999E-2</v>
      </c>
      <c r="P32" s="179">
        <v>46840.116000000002</v>
      </c>
      <c r="Q32" s="47">
        <v>93.1875</v>
      </c>
      <c r="R32" s="7">
        <v>93.281250000000014</v>
      </c>
      <c r="S32" s="90">
        <v>1.357E-2</v>
      </c>
      <c r="T32" s="179">
        <v>46840.116000000002</v>
      </c>
      <c r="U32" s="47">
        <v>93.125000000000014</v>
      </c>
      <c r="V32" s="7">
        <v>93.218749999999972</v>
      </c>
      <c r="W32" s="90">
        <v>1.3680000000000001E-2</v>
      </c>
    </row>
    <row r="33" spans="1:23" x14ac:dyDescent="0.35">
      <c r="A33" s="7">
        <f t="shared" si="4"/>
        <v>48228.001250000001</v>
      </c>
      <c r="B33" s="1">
        <f>Weights!A44</f>
        <v>48228</v>
      </c>
      <c r="C33" s="6">
        <f>Weights!B44</f>
        <v>1.25E-3</v>
      </c>
      <c r="D33" s="179">
        <v>51102.455999999998</v>
      </c>
      <c r="E33" s="47">
        <f t="shared" si="5"/>
        <v>91.812500000000014</v>
      </c>
      <c r="F33" s="7">
        <f t="shared" si="6"/>
        <v>91.875</v>
      </c>
      <c r="G33" s="90">
        <f t="shared" si="7"/>
        <v>1.504E-2</v>
      </c>
      <c r="H33" s="179">
        <v>51102.455999999998</v>
      </c>
      <c r="I33" s="47">
        <v>91.875</v>
      </c>
      <c r="J33" s="7">
        <v>91.937499999999986</v>
      </c>
      <c r="K33" s="90">
        <v>1.4919999999999999E-2</v>
      </c>
      <c r="L33" s="179">
        <v>51102.455999999998</v>
      </c>
      <c r="M33" s="47">
        <v>91.625000000000014</v>
      </c>
      <c r="N33" s="7">
        <v>91.718750000000014</v>
      </c>
      <c r="O33" s="90">
        <v>1.5339999999999999E-2</v>
      </c>
      <c r="P33" s="179">
        <v>51102.455999999998</v>
      </c>
      <c r="Q33" s="47">
        <v>91.906250000000014</v>
      </c>
      <c r="R33" s="7">
        <v>91.999999999999972</v>
      </c>
      <c r="S33" s="90">
        <v>1.4830000000000001E-2</v>
      </c>
      <c r="T33" s="179">
        <v>51102.455999999998</v>
      </c>
      <c r="U33" s="47">
        <v>91.843749999999986</v>
      </c>
      <c r="V33" s="7">
        <v>91.906250000000014</v>
      </c>
      <c r="W33" s="90">
        <v>1.4950000000000001E-2</v>
      </c>
    </row>
    <row r="34" spans="1:23" x14ac:dyDescent="0.35">
      <c r="A34" s="7">
        <f t="shared" si="4"/>
        <v>48319.033750000002</v>
      </c>
      <c r="B34" s="1">
        <f>Weights!A45</f>
        <v>48319</v>
      </c>
      <c r="C34" s="6">
        <f>Weights!B45</f>
        <v>3.3750000000000002E-2</v>
      </c>
      <c r="D34" s="179">
        <v>5000.0110000000004</v>
      </c>
      <c r="E34" s="47">
        <f t="shared" si="5"/>
        <v>111.28125000000001</v>
      </c>
      <c r="F34" s="7">
        <f t="shared" si="6"/>
        <v>111.37500000000001</v>
      </c>
      <c r="G34" s="90">
        <f t="shared" si="7"/>
        <v>1.5089999999999999E-2</v>
      </c>
      <c r="H34" s="179">
        <v>5000.0110000000004</v>
      </c>
      <c r="I34" s="47">
        <v>111.37500000000001</v>
      </c>
      <c r="J34" s="7">
        <v>111.46875000000001</v>
      </c>
      <c r="K34" s="90">
        <v>1.498E-2</v>
      </c>
      <c r="L34" s="179">
        <v>5000.0110000000004</v>
      </c>
      <c r="M34" s="47">
        <v>111.12500000000001</v>
      </c>
      <c r="N34" s="7">
        <v>111.21874999999997</v>
      </c>
      <c r="O34" s="90">
        <v>1.54E-2</v>
      </c>
      <c r="P34" s="179">
        <v>5000.0110000000004</v>
      </c>
      <c r="Q34" s="47">
        <v>111.49999999999999</v>
      </c>
      <c r="R34" s="7">
        <v>111.59375</v>
      </c>
      <c r="S34" s="90">
        <v>1.4830000000000001E-2</v>
      </c>
      <c r="T34" s="179">
        <v>5000.0110000000004</v>
      </c>
      <c r="U34" s="47">
        <v>111.40624999999999</v>
      </c>
      <c r="V34" s="7">
        <v>111.49999999999999</v>
      </c>
      <c r="W34" s="90">
        <v>1.498E-2</v>
      </c>
    </row>
    <row r="35" spans="1:23" x14ac:dyDescent="0.35">
      <c r="A35" s="7">
        <f t="shared" si="4"/>
        <v>48410.006249999999</v>
      </c>
      <c r="B35" s="1">
        <f>Weights!A46</f>
        <v>48410</v>
      </c>
      <c r="C35" s="6">
        <f>Weights!B46</f>
        <v>6.2500000000000003E-3</v>
      </c>
      <c r="D35" s="179">
        <v>48630.847999999998</v>
      </c>
      <c r="E35" s="47">
        <f t="shared" si="5"/>
        <v>94.375000000000014</v>
      </c>
      <c r="F35" s="7">
        <f t="shared" si="6"/>
        <v>94.4375</v>
      </c>
      <c r="G35" s="90">
        <f t="shared" si="7"/>
        <v>1.502E-2</v>
      </c>
      <c r="H35" s="179">
        <v>48630.847999999998</v>
      </c>
      <c r="I35" s="47">
        <v>94.4375</v>
      </c>
      <c r="J35" s="7">
        <v>94.53125</v>
      </c>
      <c r="K35" s="90">
        <v>1.4879999999999999E-2</v>
      </c>
      <c r="L35" s="179">
        <v>48630.847999999998</v>
      </c>
      <c r="M35" s="47">
        <v>94.156249999999986</v>
      </c>
      <c r="N35" s="7">
        <v>94.25</v>
      </c>
      <c r="O35" s="90">
        <v>1.533E-2</v>
      </c>
      <c r="P35" s="179">
        <v>48630.847999999998</v>
      </c>
      <c r="Q35" s="47">
        <v>94.468750000000014</v>
      </c>
      <c r="R35" s="7">
        <v>94.562500000000028</v>
      </c>
      <c r="S35" s="90">
        <v>1.482E-2</v>
      </c>
      <c r="T35" s="179">
        <v>48630.847999999998</v>
      </c>
      <c r="U35" s="47">
        <v>94.406249999999986</v>
      </c>
      <c r="V35" s="7">
        <v>94.499999999999986</v>
      </c>
      <c r="W35" s="90">
        <v>1.49E-2</v>
      </c>
    </row>
    <row r="36" spans="1:23" x14ac:dyDescent="0.35">
      <c r="A36" s="7">
        <f t="shared" si="4"/>
        <v>48594.011250000003</v>
      </c>
      <c r="B36" s="1">
        <f>Weights!A47</f>
        <v>48594</v>
      </c>
      <c r="C36" s="6">
        <f>Weights!B47</f>
        <v>1.125E-2</v>
      </c>
      <c r="D36" s="179">
        <v>49817.124000000003</v>
      </c>
      <c r="E36" s="47">
        <f t="shared" si="5"/>
        <v>96.562500000000028</v>
      </c>
      <c r="F36" s="7">
        <f t="shared" si="6"/>
        <v>96.656249999999986</v>
      </c>
      <c r="G36" s="90">
        <f t="shared" si="7"/>
        <v>1.6200000000000003E-2</v>
      </c>
      <c r="H36" s="179">
        <v>49817.124000000003</v>
      </c>
      <c r="I36" s="47">
        <v>96.656249999999986</v>
      </c>
      <c r="J36" s="7">
        <v>96.749999999999986</v>
      </c>
      <c r="K36" s="90">
        <v>1.6029999999999999E-2</v>
      </c>
      <c r="L36" s="179">
        <v>49817.124000000003</v>
      </c>
      <c r="M36" s="47">
        <v>96.375000000000014</v>
      </c>
      <c r="N36" s="7">
        <v>96.468750000000014</v>
      </c>
      <c r="O36" s="90">
        <v>1.6459999999999999E-2</v>
      </c>
      <c r="P36" s="179">
        <v>49817.124000000003</v>
      </c>
      <c r="Q36" s="47">
        <v>96.749999999999986</v>
      </c>
      <c r="R36" s="7">
        <v>96.843749999999986</v>
      </c>
      <c r="S36" s="90">
        <v>1.592E-2</v>
      </c>
      <c r="T36" s="179">
        <v>49817.124000000003</v>
      </c>
      <c r="U36" s="47">
        <v>96.656249999999986</v>
      </c>
      <c r="V36" s="7">
        <v>96.749999999999986</v>
      </c>
      <c r="W36" s="90">
        <v>1.6040000000000002E-2</v>
      </c>
    </row>
    <row r="37" spans="1:23" x14ac:dyDescent="0.35">
      <c r="A37" s="7">
        <f t="shared" si="4"/>
        <v>48775.013749999998</v>
      </c>
      <c r="B37" s="1">
        <f>Weights!A48</f>
        <v>48775</v>
      </c>
      <c r="C37" s="6">
        <f>Weights!B48</f>
        <v>1.375E-2</v>
      </c>
      <c r="D37" s="179">
        <v>47172.837</v>
      </c>
      <c r="E37" s="47">
        <f t="shared" si="5"/>
        <v>98.156249999999986</v>
      </c>
      <c r="F37" s="7">
        <f t="shared" si="6"/>
        <v>98.281250000000014</v>
      </c>
      <c r="G37" s="90">
        <f t="shared" si="7"/>
        <v>1.6160000000000001E-2</v>
      </c>
      <c r="H37" s="179">
        <v>47172.837</v>
      </c>
      <c r="I37" s="47">
        <v>98.25</v>
      </c>
      <c r="J37" s="7">
        <v>98.34375</v>
      </c>
      <c r="K37" s="90">
        <v>1.6029999999999999E-2</v>
      </c>
      <c r="L37" s="179">
        <v>47172.837</v>
      </c>
      <c r="M37" s="47">
        <v>97.937499999999986</v>
      </c>
      <c r="N37" s="7">
        <v>98.062499999999986</v>
      </c>
      <c r="O37" s="90">
        <v>1.6449999999999999E-2</v>
      </c>
      <c r="P37" s="179">
        <v>47172.837</v>
      </c>
      <c r="Q37" s="47">
        <v>98.312499999999986</v>
      </c>
      <c r="R37" s="7">
        <v>98.4375</v>
      </c>
      <c r="S37" s="90">
        <v>1.593E-2</v>
      </c>
      <c r="T37" s="179">
        <v>47172.837</v>
      </c>
      <c r="U37" s="47">
        <v>98.281250000000014</v>
      </c>
      <c r="V37" s="7">
        <v>98.375000000000014</v>
      </c>
      <c r="W37" s="90">
        <v>1.6E-2</v>
      </c>
    </row>
    <row r="38" spans="1:23" x14ac:dyDescent="0.35">
      <c r="A38" s="7">
        <f t="shared" si="4"/>
        <v>48959.017500000002</v>
      </c>
      <c r="B38" s="1">
        <f>Weights!A49</f>
        <v>48959</v>
      </c>
      <c r="C38" s="6">
        <f>Weights!B49</f>
        <v>1.7500000000000002E-2</v>
      </c>
      <c r="D38" s="179">
        <v>50949.911</v>
      </c>
      <c r="E38" s="47">
        <f t="shared" si="5"/>
        <v>100.12500000000001</v>
      </c>
      <c r="F38" s="7">
        <f t="shared" si="6"/>
        <v>100.25</v>
      </c>
      <c r="G38" s="90">
        <f t="shared" si="7"/>
        <v>1.7180000000000001E-2</v>
      </c>
      <c r="H38" s="179">
        <v>50949.911</v>
      </c>
      <c r="I38" s="47">
        <v>100.21874999999997</v>
      </c>
      <c r="J38" s="7">
        <v>100.34375</v>
      </c>
      <c r="K38" s="90">
        <v>1.7059999999999999E-2</v>
      </c>
      <c r="L38" s="179">
        <v>50949.911</v>
      </c>
      <c r="M38" s="47">
        <v>99.906250000000014</v>
      </c>
      <c r="N38" s="7">
        <v>100.03125000000001</v>
      </c>
      <c r="O38" s="90">
        <v>1.7479999999999999E-2</v>
      </c>
      <c r="P38" s="179">
        <v>50949.911</v>
      </c>
      <c r="Q38" s="47">
        <v>100.31249999999999</v>
      </c>
      <c r="R38" s="7">
        <v>100.40624999999999</v>
      </c>
      <c r="S38" s="90">
        <v>1.695E-2</v>
      </c>
      <c r="T38" s="179">
        <v>50949.911</v>
      </c>
      <c r="U38" s="47">
        <v>100.25</v>
      </c>
      <c r="V38" s="7">
        <v>100.34375</v>
      </c>
      <c r="W38" s="90">
        <v>1.703E-2</v>
      </c>
    </row>
    <row r="39" spans="1:23" x14ac:dyDescent="0.35">
      <c r="A39" s="7">
        <f t="shared" si="4"/>
        <v>49140.018750000003</v>
      </c>
      <c r="B39" s="1">
        <f>Weights!A50</f>
        <v>49140</v>
      </c>
      <c r="C39" s="6">
        <f>Weights!B50</f>
        <v>1.8749999999999999E-2</v>
      </c>
      <c r="D39" s="179">
        <v>54398.584000000003</v>
      </c>
      <c r="E39" s="47">
        <f t="shared" si="5"/>
        <v>101.12500000000001</v>
      </c>
      <c r="F39" s="7">
        <f t="shared" si="6"/>
        <v>101.25</v>
      </c>
      <c r="G39" s="90">
        <f t="shared" si="7"/>
        <v>1.72E-2</v>
      </c>
      <c r="H39" s="179">
        <v>54398.584000000003</v>
      </c>
      <c r="I39" s="47">
        <v>101.25</v>
      </c>
      <c r="J39" s="7">
        <v>101.37500000000001</v>
      </c>
      <c r="K39" s="90">
        <v>1.7059999999999999E-2</v>
      </c>
      <c r="L39" s="179">
        <v>54398.584000000003</v>
      </c>
      <c r="M39" s="47">
        <v>100.90625000000001</v>
      </c>
      <c r="N39" s="7">
        <v>101</v>
      </c>
      <c r="O39" s="90">
        <v>1.7490000000000002E-2</v>
      </c>
      <c r="P39" s="179">
        <v>54398.584000000003</v>
      </c>
      <c r="Q39" s="47">
        <v>101.31249999999999</v>
      </c>
      <c r="R39" s="7">
        <v>101.4375</v>
      </c>
      <c r="S39" s="90">
        <v>1.6969999999999999E-2</v>
      </c>
      <c r="T39" s="179">
        <v>54398.584000000003</v>
      </c>
      <c r="U39" s="47">
        <v>101.25</v>
      </c>
      <c r="V39" s="7">
        <v>101.37500000000001</v>
      </c>
      <c r="W39" s="90">
        <v>1.704E-2</v>
      </c>
    </row>
    <row r="40" spans="1:23" x14ac:dyDescent="0.35">
      <c r="A40" s="7">
        <f t="shared" si="4"/>
        <v>49324.021249999998</v>
      </c>
      <c r="B40" s="1">
        <f>Weights!A51</f>
        <v>49324</v>
      </c>
      <c r="C40" s="6">
        <f>Weights!B51</f>
        <v>2.1250000000000002E-2</v>
      </c>
      <c r="D40" s="179">
        <v>57642.264999999999</v>
      </c>
      <c r="E40" s="47">
        <f t="shared" si="5"/>
        <v>102.53125</v>
      </c>
      <c r="F40" s="7">
        <f t="shared" si="6"/>
        <v>102.65624999999999</v>
      </c>
      <c r="G40" s="90">
        <f t="shared" si="7"/>
        <v>1.8089999999999998E-2</v>
      </c>
      <c r="H40" s="179">
        <v>57642.264999999999</v>
      </c>
      <c r="I40" s="47">
        <v>102.62500000000001</v>
      </c>
      <c r="J40" s="7">
        <v>102.74999999999999</v>
      </c>
      <c r="K40" s="90">
        <v>1.7979999999999999E-2</v>
      </c>
      <c r="L40" s="179">
        <v>57642.264999999999</v>
      </c>
      <c r="M40" s="47">
        <v>102.28125000000001</v>
      </c>
      <c r="N40" s="7">
        <v>102.40624999999999</v>
      </c>
      <c r="O40" s="90">
        <v>1.8380000000000001E-2</v>
      </c>
      <c r="P40" s="179">
        <v>57642.264999999999</v>
      </c>
      <c r="Q40" s="47">
        <v>102.74999999999999</v>
      </c>
      <c r="R40" s="7">
        <v>102.875</v>
      </c>
      <c r="S40" s="90">
        <v>1.7849999999999998E-2</v>
      </c>
      <c r="T40" s="179">
        <v>57642.264999999999</v>
      </c>
      <c r="U40" s="47">
        <v>102.71875000000001</v>
      </c>
      <c r="V40" s="7">
        <v>102.84374999999999</v>
      </c>
      <c r="W40" s="90">
        <v>1.788E-2</v>
      </c>
    </row>
    <row r="41" spans="1:23" x14ac:dyDescent="0.35">
      <c r="A41" s="7">
        <f t="shared" si="4"/>
        <v>49505.018750000003</v>
      </c>
      <c r="B41" s="1">
        <f>Weights!A52</f>
        <v>49505</v>
      </c>
      <c r="C41" s="6">
        <f>Weights!B52</f>
        <v>1.8749999999999999E-2</v>
      </c>
      <c r="D41" s="179">
        <v>42479.177000000003</v>
      </c>
      <c r="E41" s="47">
        <f>VLOOKUP($B41+$C41,wsj_quotes,10,FALSE)</f>
        <v>100.46875000000001</v>
      </c>
      <c r="F41" s="7">
        <f t="shared" si="6"/>
        <v>100.59375</v>
      </c>
      <c r="G41" s="90">
        <f t="shared" si="7"/>
        <v>1.8069999999999999E-2</v>
      </c>
      <c r="H41" s="179">
        <v>42479.177000000003</v>
      </c>
      <c r="I41" s="47">
        <v>100.59375</v>
      </c>
      <c r="J41" s="7">
        <v>100.71875000000001</v>
      </c>
      <c r="K41" s="90">
        <v>1.7940000000000001E-2</v>
      </c>
      <c r="L41" s="179">
        <v>42479.177000000003</v>
      </c>
      <c r="M41" s="47">
        <v>100.21874999999997</v>
      </c>
      <c r="N41" s="7">
        <v>100.34375</v>
      </c>
      <c r="O41" s="90">
        <v>1.8360000000000001E-2</v>
      </c>
      <c r="P41" s="179">
        <v>42479.177000000003</v>
      </c>
      <c r="Q41" s="47">
        <v>100.6875</v>
      </c>
      <c r="R41" s="7">
        <v>100.81250000000001</v>
      </c>
      <c r="S41" s="90">
        <v>1.7829999999999999E-2</v>
      </c>
      <c r="T41" s="179">
        <v>42479.177000000003</v>
      </c>
      <c r="U41" s="47">
        <v>100.65624999999999</v>
      </c>
      <c r="V41" s="7">
        <v>100.78125</v>
      </c>
      <c r="W41" s="90">
        <v>1.787E-2</v>
      </c>
    </row>
    <row r="42" spans="1:23" x14ac:dyDescent="0.35">
      <c r="A42" s="7">
        <f t="shared" si="4"/>
        <v>51181.021249999998</v>
      </c>
      <c r="B42" s="1">
        <f>Weights!A53</f>
        <v>51181</v>
      </c>
      <c r="C42" s="6">
        <f>Weights!B53</f>
        <v>2.1250000000000002E-2</v>
      </c>
      <c r="D42" s="179">
        <v>15171.391</v>
      </c>
      <c r="E42" s="47">
        <f t="shared" si="5"/>
        <v>100.4375</v>
      </c>
      <c r="F42" s="7">
        <f t="shared" si="6"/>
        <v>100.62500000000001</v>
      </c>
      <c r="G42" s="90">
        <f t="shared" si="7"/>
        <v>2.0750000000000001E-2</v>
      </c>
      <c r="H42" s="179">
        <v>15171.391</v>
      </c>
      <c r="I42" s="47">
        <v>100.53125</v>
      </c>
      <c r="J42" s="7">
        <v>100.71875000000001</v>
      </c>
      <c r="K42" s="90">
        <v>2.0670000000000001E-2</v>
      </c>
      <c r="L42" s="179">
        <v>15171.391</v>
      </c>
      <c r="M42" s="47">
        <v>100.12500000000001</v>
      </c>
      <c r="N42" s="7">
        <v>100.31249999999999</v>
      </c>
      <c r="O42" s="90">
        <v>2.0990000000000002E-2</v>
      </c>
      <c r="P42" s="179">
        <v>15171.391</v>
      </c>
      <c r="Q42" s="47">
        <v>100.71875000000001</v>
      </c>
      <c r="R42" s="7">
        <v>100.90625000000001</v>
      </c>
      <c r="S42" s="90">
        <v>2.051E-2</v>
      </c>
      <c r="T42" s="179">
        <v>15171.391</v>
      </c>
      <c r="U42" s="47">
        <v>100.84374999999999</v>
      </c>
      <c r="V42" s="7">
        <v>101.03125000000001</v>
      </c>
      <c r="W42" s="90">
        <v>2.0409999999999998E-2</v>
      </c>
    </row>
    <row r="43" spans="1:23" x14ac:dyDescent="0.35">
      <c r="A43" s="7">
        <f t="shared" si="4"/>
        <v>51547.021249999998</v>
      </c>
      <c r="B43" s="1">
        <f>Weights!A54</f>
        <v>51547</v>
      </c>
      <c r="C43" s="6">
        <f>Weights!B54</f>
        <v>2.1250000000000002E-2</v>
      </c>
      <c r="D43" s="179">
        <v>23986.016</v>
      </c>
      <c r="E43" s="47">
        <f t="shared" si="5"/>
        <v>99.499999999999986</v>
      </c>
      <c r="F43" s="7">
        <f t="shared" si="6"/>
        <v>99.6875</v>
      </c>
      <c r="G43" s="90">
        <f t="shared" si="7"/>
        <v>2.1480000000000003E-2</v>
      </c>
      <c r="H43" s="179">
        <v>23986.016</v>
      </c>
      <c r="I43" s="47">
        <v>99.656249999999986</v>
      </c>
      <c r="J43" s="7">
        <v>99.843749999999986</v>
      </c>
      <c r="K43" s="90">
        <v>2.138E-2</v>
      </c>
      <c r="L43" s="179">
        <v>23986.016</v>
      </c>
      <c r="M43" s="47">
        <v>99.218749999999972</v>
      </c>
      <c r="N43" s="7">
        <v>99.406249999999986</v>
      </c>
      <c r="O43" s="90">
        <v>2.1700000000000001E-2</v>
      </c>
      <c r="P43" s="179">
        <v>23986.016</v>
      </c>
      <c r="Q43" s="47">
        <v>99.812500000000014</v>
      </c>
      <c r="R43" s="7">
        <v>100</v>
      </c>
      <c r="S43" s="90">
        <v>2.1240000000000002E-2</v>
      </c>
      <c r="T43" s="179">
        <v>23986.016</v>
      </c>
      <c r="U43" s="47">
        <v>100.03125000000001</v>
      </c>
      <c r="V43" s="7">
        <v>100.21874999999997</v>
      </c>
      <c r="W43" s="90">
        <v>2.1090000000000001E-2</v>
      </c>
    </row>
    <row r="44" spans="1:23" x14ac:dyDescent="0.35">
      <c r="A44" s="7">
        <f t="shared" si="4"/>
        <v>51912.0075</v>
      </c>
      <c r="B44" s="1">
        <f>Weights!A55</f>
        <v>51912</v>
      </c>
      <c r="C44" s="6">
        <f>Weights!B55</f>
        <v>7.4999999999999997E-3</v>
      </c>
      <c r="D44" s="179">
        <v>23127.868999999999</v>
      </c>
      <c r="E44" s="47">
        <f t="shared" si="5"/>
        <v>79.25</v>
      </c>
      <c r="F44" s="7">
        <f t="shared" si="6"/>
        <v>79.406249999999986</v>
      </c>
      <c r="G44" s="90">
        <f t="shared" si="7"/>
        <v>2.2709999999999998E-2</v>
      </c>
      <c r="H44" s="179">
        <v>23127.868999999999</v>
      </c>
      <c r="I44" s="47">
        <v>79.406249999999986</v>
      </c>
      <c r="J44" s="7">
        <v>79.59375</v>
      </c>
      <c r="K44" s="90">
        <v>2.2559999999999997E-2</v>
      </c>
      <c r="L44" s="179">
        <v>23127.868999999999</v>
      </c>
      <c r="M44" s="47">
        <v>78.999999999999972</v>
      </c>
      <c r="N44" s="7">
        <v>79.156249999999986</v>
      </c>
      <c r="O44" s="90">
        <v>2.29E-2</v>
      </c>
      <c r="P44" s="179">
        <v>23127.868999999999</v>
      </c>
      <c r="Q44" s="47">
        <v>79.499999999999986</v>
      </c>
      <c r="R44" s="7">
        <v>79.656249999999986</v>
      </c>
      <c r="S44" s="90">
        <v>2.249E-2</v>
      </c>
      <c r="T44" s="179">
        <v>23127.868999999999</v>
      </c>
      <c r="U44" s="47">
        <v>79.656249999999986</v>
      </c>
      <c r="V44" s="7">
        <v>79.812500000000014</v>
      </c>
      <c r="W44" s="90">
        <v>2.2360000000000001E-2</v>
      </c>
    </row>
    <row r="45" spans="1:23" x14ac:dyDescent="0.35">
      <c r="A45" s="7">
        <f t="shared" si="4"/>
        <v>52277.006249999999</v>
      </c>
      <c r="B45" s="1">
        <f>Weights!A56</f>
        <v>52277</v>
      </c>
      <c r="C45" s="6">
        <f>Weights!B56</f>
        <v>6.2500000000000003E-3</v>
      </c>
      <c r="D45" s="179">
        <v>23000.062000000002</v>
      </c>
      <c r="E45" s="47">
        <f t="shared" si="5"/>
        <v>75.906250000000014</v>
      </c>
      <c r="F45" s="7">
        <f t="shared" si="6"/>
        <v>76.062499999999986</v>
      </c>
      <c r="G45" s="90">
        <f t="shared" si="7"/>
        <v>2.3140000000000001E-2</v>
      </c>
      <c r="H45" s="179">
        <v>23000.062000000002</v>
      </c>
      <c r="I45" s="47">
        <v>76.062499999999986</v>
      </c>
      <c r="J45" s="7">
        <v>76.25</v>
      </c>
      <c r="K45" s="90">
        <v>2.3E-2</v>
      </c>
      <c r="L45" s="179">
        <v>23000.062000000002</v>
      </c>
      <c r="M45" s="47">
        <v>75.656249999999986</v>
      </c>
      <c r="N45" s="7">
        <v>75.843749999999986</v>
      </c>
      <c r="O45" s="90">
        <v>2.3319999999999997E-2</v>
      </c>
      <c r="P45" s="179">
        <v>23000.062000000002</v>
      </c>
      <c r="Q45" s="47">
        <v>76.25</v>
      </c>
      <c r="R45" s="7">
        <v>76.406249999999986</v>
      </c>
      <c r="S45" s="90">
        <v>2.2839999999999999E-2</v>
      </c>
      <c r="T45" s="179">
        <v>23000.062000000002</v>
      </c>
      <c r="U45" s="47">
        <v>76.468750000000014</v>
      </c>
      <c r="V45" s="7">
        <v>76.625000000000014</v>
      </c>
      <c r="W45" s="90">
        <v>2.266E-2</v>
      </c>
    </row>
    <row r="46" spans="1:23" x14ac:dyDescent="0.35">
      <c r="A46" s="7">
        <f t="shared" si="4"/>
        <v>52642.013749999998</v>
      </c>
      <c r="B46" s="1">
        <f>Weights!A57</f>
        <v>52642</v>
      </c>
      <c r="C46" s="6">
        <f>Weights!B57</f>
        <v>1.375E-2</v>
      </c>
      <c r="D46" s="179">
        <v>23025.326000000001</v>
      </c>
      <c r="E46" s="47">
        <f t="shared" si="5"/>
        <v>85.468750000000014</v>
      </c>
      <c r="F46" s="7">
        <f t="shared" si="6"/>
        <v>85.656249999999986</v>
      </c>
      <c r="G46" s="90">
        <f t="shared" si="7"/>
        <v>2.3439999999999999E-2</v>
      </c>
      <c r="H46" s="179">
        <v>23025.326000000001</v>
      </c>
      <c r="I46" s="47">
        <v>85.656249999999986</v>
      </c>
      <c r="J46" s="7">
        <v>85.843749999999986</v>
      </c>
      <c r="K46" s="90">
        <v>2.3310000000000001E-2</v>
      </c>
      <c r="L46" s="179">
        <v>23025.326000000001</v>
      </c>
      <c r="M46" s="47">
        <v>85.218749999999972</v>
      </c>
      <c r="N46" s="7">
        <v>85.4375</v>
      </c>
      <c r="O46" s="90">
        <v>2.3620000000000002E-2</v>
      </c>
      <c r="P46" s="179">
        <v>23025.326000000001</v>
      </c>
      <c r="Q46" s="47">
        <v>85.843749999999986</v>
      </c>
      <c r="R46" s="7">
        <v>86.062499999999986</v>
      </c>
      <c r="S46" s="90">
        <v>2.315E-2</v>
      </c>
      <c r="T46" s="179">
        <v>23025.326000000001</v>
      </c>
      <c r="U46" s="47">
        <v>86.031250000000014</v>
      </c>
      <c r="V46" s="7">
        <v>86.218749999999972</v>
      </c>
      <c r="W46" s="90">
        <v>2.3019999999999999E-2</v>
      </c>
    </row>
    <row r="47" spans="1:23" x14ac:dyDescent="0.35">
      <c r="A47" s="7">
        <f t="shared" si="4"/>
        <v>53008.0075</v>
      </c>
      <c r="B47" s="1">
        <f>Weights!A58</f>
        <v>53008</v>
      </c>
      <c r="C47" s="6">
        <f>Weights!B58</f>
        <v>7.4999999999999997E-3</v>
      </c>
      <c r="D47" s="179">
        <v>23000.005000000001</v>
      </c>
      <c r="E47" s="47">
        <f t="shared" si="5"/>
        <v>74.625000000000014</v>
      </c>
      <c r="F47" s="7">
        <f t="shared" si="6"/>
        <v>74.812500000000014</v>
      </c>
      <c r="G47" s="90">
        <f t="shared" si="7"/>
        <v>2.3879999999999998E-2</v>
      </c>
      <c r="H47" s="179">
        <v>23000.005000000001</v>
      </c>
      <c r="I47" s="47">
        <v>74.812500000000014</v>
      </c>
      <c r="J47" s="7">
        <v>74.999999999999972</v>
      </c>
      <c r="K47" s="90">
        <v>2.375E-2</v>
      </c>
      <c r="L47" s="179">
        <v>23000.005000000001</v>
      </c>
      <c r="M47" s="47">
        <v>74.4375</v>
      </c>
      <c r="N47" s="7">
        <v>74.625000000000014</v>
      </c>
      <c r="O47" s="90">
        <v>2.4029999999999999E-2</v>
      </c>
      <c r="P47" s="179">
        <v>23000.005000000001</v>
      </c>
      <c r="Q47" s="47">
        <v>75.031250000000014</v>
      </c>
      <c r="R47" s="7">
        <v>75.218749999999972</v>
      </c>
      <c r="S47" s="90">
        <v>2.3570000000000001E-2</v>
      </c>
      <c r="T47" s="179">
        <v>23000.005000000001</v>
      </c>
      <c r="U47" s="47">
        <v>75.218749999999972</v>
      </c>
      <c r="V47" s="7">
        <v>75.406249999999986</v>
      </c>
      <c r="W47" s="90">
        <v>2.3429999999999999E-2</v>
      </c>
    </row>
    <row r="48" spans="1:23" x14ac:dyDescent="0.35">
      <c r="A48" s="7">
        <f t="shared" si="4"/>
        <v>53373.01</v>
      </c>
      <c r="B48" s="1">
        <f>Weights!A59</f>
        <v>53373</v>
      </c>
      <c r="C48" s="6">
        <f>Weights!B59</f>
        <v>0.01</v>
      </c>
      <c r="D48" s="179">
        <v>20377.717000000001</v>
      </c>
      <c r="E48" s="47">
        <f t="shared" si="5"/>
        <v>77.156249999999986</v>
      </c>
      <c r="F48" s="7">
        <f t="shared" si="6"/>
        <v>77.34375</v>
      </c>
      <c r="G48" s="90">
        <f t="shared" si="7"/>
        <v>2.4199999999999999E-2</v>
      </c>
      <c r="H48" s="179">
        <v>20377.717000000001</v>
      </c>
      <c r="I48" s="47">
        <v>77.34375</v>
      </c>
      <c r="J48" s="7">
        <v>77.53125</v>
      </c>
      <c r="K48" s="90">
        <v>2.4060000000000002E-2</v>
      </c>
      <c r="L48" s="179">
        <v>20377.717000000001</v>
      </c>
      <c r="M48" s="47">
        <v>76.937499999999986</v>
      </c>
      <c r="N48" s="7">
        <v>77.125000000000014</v>
      </c>
      <c r="O48" s="90">
        <v>2.436E-2</v>
      </c>
      <c r="P48" s="179">
        <v>20377.717000000001</v>
      </c>
      <c r="Q48" s="47">
        <v>77.562500000000028</v>
      </c>
      <c r="R48" s="7">
        <v>77.749999999999986</v>
      </c>
      <c r="S48" s="90">
        <v>2.3900000000000001E-2</v>
      </c>
      <c r="T48" s="179">
        <v>20377.717000000001</v>
      </c>
      <c r="U48" s="47">
        <v>77.749999999999986</v>
      </c>
      <c r="V48" s="7">
        <v>77.937499999999986</v>
      </c>
      <c r="W48" s="90">
        <v>2.3769999999999999E-2</v>
      </c>
    </row>
    <row r="49" spans="1:23" x14ac:dyDescent="0.35">
      <c r="A49" s="7">
        <f t="shared" si="4"/>
        <v>53738.008750000001</v>
      </c>
      <c r="B49" s="1">
        <f>Weights!A60</f>
        <v>53738</v>
      </c>
      <c r="C49" s="6">
        <f>Weights!B60</f>
        <v>8.7500000000000008E-3</v>
      </c>
      <c r="D49" s="179">
        <v>18703.669000000002</v>
      </c>
      <c r="E49" s="47">
        <f t="shared" si="5"/>
        <v>73.875</v>
      </c>
      <c r="F49" s="7">
        <f t="shared" si="6"/>
        <v>74.09375</v>
      </c>
      <c r="G49" s="90">
        <f t="shared" si="7"/>
        <v>2.445E-2</v>
      </c>
      <c r="H49" s="179">
        <v>18703.669000000002</v>
      </c>
      <c r="I49" s="47">
        <v>74.062499999999986</v>
      </c>
      <c r="J49" s="7">
        <v>74.281250000000014</v>
      </c>
      <c r="K49" s="90">
        <v>2.4310000000000002E-2</v>
      </c>
      <c r="L49" s="179">
        <v>18703.669000000002</v>
      </c>
      <c r="M49" s="47">
        <v>73.656249999999986</v>
      </c>
      <c r="N49" s="7">
        <v>73.843749999999986</v>
      </c>
      <c r="O49" s="90">
        <v>2.461E-2</v>
      </c>
      <c r="P49" s="179">
        <v>18703.669000000002</v>
      </c>
      <c r="Q49" s="47">
        <v>74.281250000000014</v>
      </c>
      <c r="R49" s="7">
        <v>74.499999999999986</v>
      </c>
      <c r="S49" s="90">
        <v>2.4150000000000001E-2</v>
      </c>
      <c r="T49" s="179">
        <v>18703.669000000002</v>
      </c>
      <c r="U49" s="47">
        <v>74.499999999999986</v>
      </c>
      <c r="V49" s="7">
        <v>74.718750000000014</v>
      </c>
      <c r="W49" s="90">
        <v>2.3990000000000001E-2</v>
      </c>
    </row>
    <row r="50" spans="1:23" x14ac:dyDescent="0.35">
      <c r="A50" s="7">
        <f t="shared" si="4"/>
        <v>54103.01</v>
      </c>
      <c r="B50" s="1">
        <f>Weights!A61</f>
        <v>54103</v>
      </c>
      <c r="C50" s="6">
        <f>Weights!B61</f>
        <v>0.01</v>
      </c>
      <c r="D50" s="179">
        <v>18706.580999999998</v>
      </c>
      <c r="E50" s="47">
        <f t="shared" si="5"/>
        <v>74.906250000000014</v>
      </c>
      <c r="F50" s="7">
        <f t="shared" si="6"/>
        <v>75.125000000000014</v>
      </c>
      <c r="G50" s="90">
        <f t="shared" si="7"/>
        <v>2.4569999999999998E-2</v>
      </c>
      <c r="H50" s="179">
        <v>18706.580999999998</v>
      </c>
      <c r="I50" s="47">
        <v>75.09375</v>
      </c>
      <c r="J50" s="7">
        <v>75.312499999999986</v>
      </c>
      <c r="K50" s="90">
        <v>2.445E-2</v>
      </c>
      <c r="L50" s="179">
        <v>18706.580999999998</v>
      </c>
      <c r="M50" s="47">
        <v>74.656249999999986</v>
      </c>
      <c r="N50" s="7">
        <v>74.875</v>
      </c>
      <c r="O50" s="90">
        <v>2.4740000000000002E-2</v>
      </c>
      <c r="P50" s="179">
        <v>18706.580999999998</v>
      </c>
      <c r="Q50" s="47">
        <v>75.34375</v>
      </c>
      <c r="R50" s="7">
        <v>75.562500000000028</v>
      </c>
      <c r="S50" s="90">
        <v>2.427E-2</v>
      </c>
      <c r="T50" s="179">
        <v>18706.580999999998</v>
      </c>
      <c r="U50" s="47">
        <v>75.562500000000028</v>
      </c>
      <c r="V50" s="7">
        <v>75.749999999999986</v>
      </c>
      <c r="W50" s="90">
        <v>2.4119999999999999E-2</v>
      </c>
    </row>
    <row r="51" spans="1:23" x14ac:dyDescent="0.35">
      <c r="A51" s="7">
        <f t="shared" si="4"/>
        <v>54469.01</v>
      </c>
      <c r="B51" s="1">
        <f>Weights!A62</f>
        <v>54469</v>
      </c>
      <c r="C51" s="6">
        <f>Weights!B62</f>
        <v>0.01</v>
      </c>
      <c r="D51" s="179">
        <v>15385.028</v>
      </c>
      <c r="E51" s="47">
        <f t="shared" si="5"/>
        <v>73.812500000000014</v>
      </c>
      <c r="F51" s="7">
        <f t="shared" si="6"/>
        <v>74.031250000000014</v>
      </c>
      <c r="G51" s="90">
        <f t="shared" si="7"/>
        <v>2.4760000000000001E-2</v>
      </c>
      <c r="H51" s="179">
        <v>15385.028</v>
      </c>
      <c r="I51" s="47">
        <v>73.96875</v>
      </c>
      <c r="J51" s="7">
        <v>74.1875</v>
      </c>
      <c r="K51" s="90">
        <v>2.4649999999999998E-2</v>
      </c>
      <c r="L51" s="179">
        <v>15385.028</v>
      </c>
      <c r="M51" s="47">
        <v>73.53125</v>
      </c>
      <c r="N51" s="7">
        <v>73.718750000000014</v>
      </c>
      <c r="O51" s="90">
        <v>2.4940000000000004E-2</v>
      </c>
      <c r="P51" s="179">
        <v>15385.028</v>
      </c>
      <c r="Q51" s="47">
        <v>74.218749999999972</v>
      </c>
      <c r="R51" s="7">
        <v>74.406249999999986</v>
      </c>
      <c r="S51" s="90">
        <v>2.4479999999999998E-2</v>
      </c>
      <c r="T51" s="179">
        <v>15385.028</v>
      </c>
      <c r="U51" s="47">
        <v>74.4375</v>
      </c>
      <c r="V51" s="7">
        <v>74.656249999999986</v>
      </c>
      <c r="W51" s="90">
        <v>2.4319999999999998E-2</v>
      </c>
    </row>
    <row r="52" spans="1:23" x14ac:dyDescent="0.35">
      <c r="A52" s="7">
        <f t="shared" si="4"/>
        <v>54834.002500000002</v>
      </c>
      <c r="B52" s="1">
        <f>Weights!A63</f>
        <v>54834</v>
      </c>
      <c r="C52" s="6">
        <f>Weights!B63</f>
        <v>2.5000000000000001E-3</v>
      </c>
      <c r="D52" s="179">
        <v>15608.124</v>
      </c>
      <c r="E52" s="47">
        <f t="shared" si="5"/>
        <v>59.21875</v>
      </c>
      <c r="F52" s="7">
        <f t="shared" si="6"/>
        <v>59.406250000000007</v>
      </c>
      <c r="G52" s="90">
        <f t="shared" si="7"/>
        <v>2.4879999999999999E-2</v>
      </c>
      <c r="H52" s="179">
        <v>15608.124</v>
      </c>
      <c r="I52" s="47">
        <v>59.406250000000007</v>
      </c>
      <c r="J52" s="7">
        <v>59.593749999999993</v>
      </c>
      <c r="K52" s="90">
        <v>2.4729999999999999E-2</v>
      </c>
      <c r="L52" s="179">
        <v>15608.124</v>
      </c>
      <c r="M52" s="47">
        <v>59</v>
      </c>
      <c r="N52" s="7">
        <v>59.187500000000007</v>
      </c>
      <c r="O52" s="90">
        <v>2.504E-2</v>
      </c>
      <c r="P52" s="179">
        <v>15608.124</v>
      </c>
      <c r="Q52" s="47">
        <v>59.625000000000007</v>
      </c>
      <c r="R52" s="7">
        <v>59.812499999999993</v>
      </c>
      <c r="S52" s="90">
        <v>2.4580000000000001E-2</v>
      </c>
      <c r="T52" s="179">
        <v>15608.124</v>
      </c>
      <c r="U52" s="47">
        <v>59.78125</v>
      </c>
      <c r="V52" s="7">
        <v>60</v>
      </c>
      <c r="W52" s="90">
        <v>2.444E-2</v>
      </c>
    </row>
    <row r="53" spans="1:23" x14ac:dyDescent="0.35">
      <c r="A53" s="7">
        <f t="shared" si="4"/>
        <v>55199.001250000001</v>
      </c>
      <c r="B53" s="1">
        <f>Weights!A64</f>
        <v>55199</v>
      </c>
      <c r="C53" s="6">
        <f>Weights!B64</f>
        <v>1.25E-3</v>
      </c>
      <c r="D53" s="179">
        <v>18005.154999999999</v>
      </c>
      <c r="E53" s="47">
        <f t="shared" si="5"/>
        <v>55.593749999999993</v>
      </c>
      <c r="F53" s="7">
        <f t="shared" si="6"/>
        <v>55.78125</v>
      </c>
      <c r="G53" s="90">
        <f t="shared" si="7"/>
        <v>2.495E-2</v>
      </c>
      <c r="H53" s="179">
        <v>18005.154999999999</v>
      </c>
      <c r="I53" s="47">
        <v>55.750000000000007</v>
      </c>
      <c r="J53" s="7">
        <v>55.937499999999993</v>
      </c>
      <c r="K53" s="90">
        <v>2.4820000000000002E-2</v>
      </c>
      <c r="L53" s="179">
        <v>18005.154999999999</v>
      </c>
      <c r="M53" s="47">
        <v>55.374999999999993</v>
      </c>
      <c r="N53" s="7">
        <v>55.5625</v>
      </c>
      <c r="O53" s="90">
        <v>2.511E-2</v>
      </c>
      <c r="P53" s="179">
        <v>18005.154999999999</v>
      </c>
      <c r="Q53" s="47">
        <v>55.968750000000007</v>
      </c>
      <c r="R53" s="7">
        <v>56.156249999999993</v>
      </c>
      <c r="S53" s="90">
        <v>2.4660000000000001E-2</v>
      </c>
      <c r="T53" s="179">
        <v>18005.154999999999</v>
      </c>
      <c r="U53" s="47">
        <v>56.156249999999993</v>
      </c>
      <c r="V53" s="7">
        <v>56.374999999999993</v>
      </c>
      <c r="W53" s="90">
        <v>2.4510000000000001E-2</v>
      </c>
    </row>
    <row r="54" spans="1:23" x14ac:dyDescent="0.35">
      <c r="A54" s="7">
        <f t="shared" si="4"/>
        <v>55564.001250000001</v>
      </c>
      <c r="B54" s="1">
        <f>Weights!A65</f>
        <v>55564</v>
      </c>
      <c r="C54" s="6">
        <f>Weights!B65</f>
        <v>1.25E-3</v>
      </c>
      <c r="D54" s="179">
        <v>19583.398000000001</v>
      </c>
      <c r="E54" s="47">
        <f t="shared" si="5"/>
        <v>54.406250000000007</v>
      </c>
      <c r="F54" s="7">
        <f t="shared" si="6"/>
        <v>54.593749999999993</v>
      </c>
      <c r="G54" s="90">
        <f t="shared" si="7"/>
        <v>2.4910000000000002E-2</v>
      </c>
      <c r="H54" s="179">
        <v>19583.398000000001</v>
      </c>
      <c r="I54" s="47">
        <v>54.5625</v>
      </c>
      <c r="J54" s="7">
        <v>54.78125</v>
      </c>
      <c r="K54" s="90">
        <v>2.4780000000000003E-2</v>
      </c>
      <c r="L54" s="179">
        <v>19583.398000000001</v>
      </c>
      <c r="M54" s="47">
        <v>54.125</v>
      </c>
      <c r="N54" s="7">
        <v>54.34375</v>
      </c>
      <c r="O54" s="90">
        <v>2.5089999999999998E-2</v>
      </c>
      <c r="P54" s="179">
        <v>19583.398000000001</v>
      </c>
      <c r="Q54" s="47">
        <v>54.750000000000007</v>
      </c>
      <c r="R54" s="7">
        <v>54.937499999999993</v>
      </c>
      <c r="S54" s="90">
        <v>2.4649999999999998E-2</v>
      </c>
      <c r="T54" s="179">
        <v>19583.398000000001</v>
      </c>
      <c r="U54" s="47">
        <v>54.968750000000007</v>
      </c>
      <c r="V54" s="7">
        <v>55.156249999999993</v>
      </c>
      <c r="W54" s="90">
        <v>2.4479999999999998E-2</v>
      </c>
    </row>
    <row r="55" spans="1:23" x14ac:dyDescent="0.35">
      <c r="A55" s="7">
        <f t="shared" si="4"/>
        <v>55930.014999999999</v>
      </c>
      <c r="B55" s="1">
        <f>Weights!A66</f>
        <v>55930</v>
      </c>
      <c r="C55" s="6">
        <f>Weights!B66</f>
        <v>1.4999999999999999E-2</v>
      </c>
      <c r="D55" s="179">
        <v>19876.004000000001</v>
      </c>
      <c r="E55" s="47">
        <f t="shared" si="5"/>
        <v>80.09375</v>
      </c>
      <c r="F55" s="7">
        <f t="shared" si="6"/>
        <v>80.34375</v>
      </c>
      <c r="G55" s="90">
        <f t="shared" si="7"/>
        <v>2.4990000000000002E-2</v>
      </c>
      <c r="H55" s="179">
        <v>19876.004000000001</v>
      </c>
      <c r="I55" s="47">
        <v>80.281250000000014</v>
      </c>
      <c r="J55" s="7">
        <v>80.53125</v>
      </c>
      <c r="K55" s="90">
        <v>2.4879999999999999E-2</v>
      </c>
      <c r="L55" s="179">
        <v>19876.004000000001</v>
      </c>
      <c r="M55" s="47">
        <v>79.812500000000014</v>
      </c>
      <c r="N55" s="7">
        <v>80.062499999999986</v>
      </c>
      <c r="O55" s="90">
        <v>2.5150000000000002E-2</v>
      </c>
      <c r="P55" s="179">
        <v>19876.004000000001</v>
      </c>
      <c r="Q55" s="47">
        <v>80.562500000000028</v>
      </c>
      <c r="R55" s="7">
        <v>80.812500000000014</v>
      </c>
      <c r="S55" s="90">
        <v>2.4709999999999999E-2</v>
      </c>
      <c r="T55" s="179">
        <v>19876.004000000001</v>
      </c>
      <c r="U55" s="47">
        <v>80.812500000000014</v>
      </c>
      <c r="V55" s="7">
        <v>81.062499999999986</v>
      </c>
      <c r="W55" s="90">
        <v>2.4569999999999998E-2</v>
      </c>
    </row>
    <row r="56" spans="1:23" x14ac:dyDescent="0.35">
      <c r="A56" s="7">
        <f t="shared" si="4"/>
        <v>56295.021249999998</v>
      </c>
      <c r="B56" s="1">
        <f>Weights!A67</f>
        <v>56295</v>
      </c>
      <c r="C56" s="6">
        <f>Weights!B67</f>
        <v>2.1250000000000002E-2</v>
      </c>
      <c r="D56" s="179">
        <v>17389.384999999998</v>
      </c>
      <c r="E56" s="47">
        <f t="shared" si="5"/>
        <v>92.281250000000014</v>
      </c>
      <c r="F56" s="7">
        <f t="shared" si="6"/>
        <v>92.562500000000028</v>
      </c>
      <c r="G56" s="90">
        <f t="shared" si="7"/>
        <v>2.4929999999999997E-2</v>
      </c>
      <c r="H56" s="179">
        <v>17389.384999999998</v>
      </c>
      <c r="I56" s="47">
        <v>92.53125</v>
      </c>
      <c r="J56" s="7">
        <v>92.812500000000014</v>
      </c>
      <c r="K56" s="90">
        <v>2.4799999999999999E-2</v>
      </c>
      <c r="L56" s="179">
        <v>17389.384999999998</v>
      </c>
      <c r="M56" s="47">
        <v>91.999999999999972</v>
      </c>
      <c r="N56" s="7">
        <v>92.25</v>
      </c>
      <c r="O56" s="90">
        <v>2.5089999999999998E-2</v>
      </c>
      <c r="P56" s="179">
        <v>17389.384999999998</v>
      </c>
      <c r="Q56" s="47">
        <v>92.843749999999986</v>
      </c>
      <c r="R56" s="7">
        <v>93.125000000000014</v>
      </c>
      <c r="S56" s="90">
        <v>2.4629999999999999E-2</v>
      </c>
      <c r="T56" s="179">
        <v>17389.384999999998</v>
      </c>
      <c r="U56" s="47">
        <v>93.125000000000014</v>
      </c>
      <c r="V56" s="7">
        <v>93.406249999999986</v>
      </c>
      <c r="W56" s="90">
        <v>2.4500000000000001E-2</v>
      </c>
    </row>
    <row r="57" spans="1:23" x14ac:dyDescent="0.35">
      <c r="A57" s="7">
        <f t="shared" si="4"/>
        <v>56660.02375</v>
      </c>
      <c r="B57" s="1">
        <f>Weights!A68</f>
        <v>56660</v>
      </c>
      <c r="C57" s="6">
        <f>Weights!B68</f>
        <v>2.375E-2</v>
      </c>
      <c r="D57" s="179">
        <v>17907.125</v>
      </c>
      <c r="E57" s="47">
        <f t="shared" si="5"/>
        <v>97.562500000000028</v>
      </c>
      <c r="F57" s="7">
        <f t="shared" si="6"/>
        <v>97.843749999999986</v>
      </c>
      <c r="G57" s="90">
        <f t="shared" si="7"/>
        <v>2.4780000000000003E-2</v>
      </c>
      <c r="H57" s="179">
        <v>17907.125</v>
      </c>
      <c r="I57" s="47">
        <v>97.812500000000014</v>
      </c>
      <c r="J57" s="7">
        <v>98.125000000000014</v>
      </c>
      <c r="K57" s="90">
        <v>2.4660000000000001E-2</v>
      </c>
      <c r="L57" s="179">
        <v>17907.125</v>
      </c>
      <c r="M57" s="47">
        <v>97.25</v>
      </c>
      <c r="N57" s="7">
        <v>97.53125</v>
      </c>
      <c r="O57" s="90">
        <v>2.4940000000000004E-2</v>
      </c>
      <c r="P57" s="179">
        <v>17907.125</v>
      </c>
      <c r="Q57" s="47">
        <v>98.156249999999986</v>
      </c>
      <c r="R57" s="7">
        <v>98.468750000000014</v>
      </c>
      <c r="S57" s="90">
        <v>2.4489999999999998E-2</v>
      </c>
      <c r="T57" s="179">
        <v>17907.125</v>
      </c>
      <c r="U57" s="47">
        <v>98.4375</v>
      </c>
      <c r="V57" s="7">
        <v>98.749999999999986</v>
      </c>
      <c r="W57" s="90">
        <v>2.435E-2</v>
      </c>
    </row>
  </sheetData>
  <sortState xmlns:xlrd2="http://schemas.microsoft.com/office/spreadsheetml/2017/richdata2" ref="B5:Z53">
    <sortCondition ref="B5:B53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666B92-E216-4239-B64D-BEBE3B8A84B9}">
  <dimension ref="A1:AK137"/>
  <sheetViews>
    <sheetView tabSelected="1" zoomScale="90" zoomScaleNormal="90" workbookViewId="0">
      <pane xSplit="2" ySplit="15" topLeftCell="C61" activePane="bottomRight" state="frozen"/>
      <selection pane="topRight" activeCell="C1" sqref="C1"/>
      <selection pane="bottomLeft" activeCell="A16" sqref="A16"/>
      <selection pane="bottomRight" activeCell="H7" sqref="H7"/>
    </sheetView>
  </sheetViews>
  <sheetFormatPr defaultColWidth="8.81640625" defaultRowHeight="14.5" x14ac:dyDescent="0.35"/>
  <cols>
    <col min="1" max="1" width="10.453125" style="2" bestFit="1" customWidth="1"/>
    <col min="2" max="2" width="7" style="6" bestFit="1" customWidth="1"/>
    <col min="3" max="3" width="4.90625" style="2" bestFit="1" customWidth="1"/>
    <col min="4" max="4" width="10.54296875" style="2" bestFit="1" customWidth="1"/>
    <col min="5" max="5" width="10.90625" style="7" customWidth="1"/>
    <col min="6" max="6" width="10.08984375" style="8" customWidth="1"/>
    <col min="7" max="7" width="11.6328125" style="8" bestFit="1" customWidth="1"/>
    <col min="8" max="8" width="10.90625" style="8" customWidth="1"/>
    <col min="9" max="9" width="10.6328125" style="2" bestFit="1" customWidth="1"/>
    <col min="10" max="10" width="10.1796875" style="2" customWidth="1"/>
    <col min="11" max="11" width="8.81640625" style="2" customWidth="1"/>
    <col min="12" max="13" width="8.81640625" style="2" hidden="1" customWidth="1"/>
    <col min="14" max="14" width="9.453125" style="2" hidden="1" customWidth="1"/>
    <col min="15" max="15" width="6.81640625" style="2" hidden="1" customWidth="1"/>
    <col min="16" max="16" width="9.81640625" style="2" hidden="1" customWidth="1"/>
    <col min="17" max="17" width="9.453125" style="2" hidden="1" customWidth="1"/>
    <col min="18" max="18" width="8.453125" style="2" hidden="1" customWidth="1"/>
    <col min="19" max="19" width="8.81640625" style="2" hidden="1" customWidth="1"/>
    <col min="20" max="20" width="8.36328125" style="2" hidden="1" customWidth="1"/>
    <col min="21" max="21" width="8.81640625" style="2" customWidth="1"/>
    <col min="22" max="22" width="8.81640625" style="2" bestFit="1" customWidth="1"/>
    <col min="23" max="23" width="10.453125" style="2" bestFit="1" customWidth="1"/>
    <col min="24" max="24" width="8.36328125" style="2" customWidth="1"/>
    <col min="25" max="29" width="10.453125" style="2" bestFit="1" customWidth="1"/>
    <col min="30" max="30" width="10.08984375" bestFit="1" customWidth="1"/>
    <col min="31" max="31" width="10.1796875" style="125" bestFit="1" customWidth="1"/>
    <col min="32" max="32" width="7.1796875" style="126" bestFit="1" customWidth="1"/>
    <col min="33" max="33" width="5" bestFit="1" customWidth="1"/>
    <col min="34" max="34" width="9" style="128" bestFit="1" customWidth="1"/>
    <col min="35" max="35" width="10.81640625" style="7" bestFit="1" customWidth="1"/>
    <col min="36" max="36" width="6.81640625" style="6" bestFit="1" customWidth="1"/>
    <col min="37" max="37" width="10.81640625" style="7" bestFit="1" customWidth="1"/>
    <col min="38" max="16384" width="8.81640625" style="2"/>
  </cols>
  <sheetData>
    <row r="1" spans="1:37" x14ac:dyDescent="0.35">
      <c r="F1" s="2"/>
      <c r="G1"/>
      <c r="H1"/>
      <c r="I1" s="121"/>
      <c r="J1"/>
      <c r="X1" s="23" t="s">
        <v>106</v>
      </c>
      <c r="Y1" s="26">
        <v>0</v>
      </c>
      <c r="Z1" s="27">
        <v>1</v>
      </c>
      <c r="AA1" s="27">
        <v>1</v>
      </c>
      <c r="AB1" s="27">
        <v>1</v>
      </c>
      <c r="AC1" s="27">
        <v>15</v>
      </c>
    </row>
    <row r="2" spans="1:37" x14ac:dyDescent="0.35">
      <c r="F2" s="2"/>
      <c r="G2"/>
      <c r="H2"/>
      <c r="J2"/>
      <c r="X2" s="23" t="s">
        <v>107</v>
      </c>
      <c r="Y2" s="26">
        <v>5</v>
      </c>
      <c r="Z2" s="27">
        <v>5</v>
      </c>
      <c r="AA2" s="27">
        <v>10</v>
      </c>
      <c r="AB2" s="27">
        <v>30</v>
      </c>
      <c r="AC2" s="27">
        <v>30</v>
      </c>
    </row>
    <row r="3" spans="1:37" x14ac:dyDescent="0.35">
      <c r="F3" s="2"/>
      <c r="G3"/>
      <c r="H3"/>
      <c r="J3"/>
      <c r="X3" s="23" t="s">
        <v>108</v>
      </c>
      <c r="Y3" s="133" t="s">
        <v>136</v>
      </c>
      <c r="Z3" s="134" t="s">
        <v>127</v>
      </c>
      <c r="AA3" s="134" t="s">
        <v>128</v>
      </c>
      <c r="AB3" s="134" t="s">
        <v>104</v>
      </c>
      <c r="AC3" s="134" t="s">
        <v>105</v>
      </c>
    </row>
    <row r="4" spans="1:37" x14ac:dyDescent="0.35">
      <c r="G4"/>
      <c r="H4"/>
      <c r="J4"/>
      <c r="X4" s="23" t="s">
        <v>106</v>
      </c>
      <c r="Y4" s="1">
        <f t="shared" ref="Y4:AC5" si="0">DATE(YEAR($G$9)+Y1,MONTH($G$9),DAY($G$9))</f>
        <v>45968</v>
      </c>
      <c r="Z4" s="1">
        <f t="shared" si="0"/>
        <v>46333</v>
      </c>
      <c r="AA4" s="1">
        <f t="shared" si="0"/>
        <v>46333</v>
      </c>
      <c r="AB4" s="1">
        <f t="shared" si="0"/>
        <v>46333</v>
      </c>
      <c r="AC4" s="1">
        <f t="shared" si="0"/>
        <v>51447</v>
      </c>
    </row>
    <row r="5" spans="1:37" x14ac:dyDescent="0.35">
      <c r="G5"/>
      <c r="H5"/>
      <c r="J5"/>
      <c r="X5" s="23" t="s">
        <v>107</v>
      </c>
      <c r="Y5" s="1">
        <f t="shared" si="0"/>
        <v>47794</v>
      </c>
      <c r="Z5" s="1">
        <f t="shared" si="0"/>
        <v>47794</v>
      </c>
      <c r="AA5" s="1">
        <f t="shared" si="0"/>
        <v>49620</v>
      </c>
      <c r="AB5" s="1">
        <f t="shared" si="0"/>
        <v>56925</v>
      </c>
      <c r="AC5" s="1">
        <f t="shared" si="0"/>
        <v>56925</v>
      </c>
    </row>
    <row r="6" spans="1:37" x14ac:dyDescent="0.35">
      <c r="X6" s="25" t="s">
        <v>212</v>
      </c>
      <c r="Y6" s="5">
        <f>SUMIFS($J:$J,$A:$A,"&gt;"&amp;Y4,$A:$A,"&lt;="&amp;Y5)/1000</f>
        <v>1132.3122021069755</v>
      </c>
      <c r="Z6" s="5">
        <f>SUMIFS($J:$J,$A:$A,"&gt;"&amp;Z4,$A:$A,"&lt;="&amp;Z5)/1000</f>
        <v>898.37877913445732</v>
      </c>
      <c r="AA6" s="5">
        <f>SUMIFS($J:$J,$A:$A,"&gt;"&amp;AA4,$A:$A,"&lt;="&amp;AA5)/1000</f>
        <v>1434.6094074673631</v>
      </c>
      <c r="AB6" s="5">
        <f>SUMIFS($J:$J,$A:$A,"&gt;"&amp;AB4,$A:$A,"&lt;="&amp;AB5)/1000</f>
        <v>1757.3897124507969</v>
      </c>
      <c r="AC6" s="5">
        <f>SUMIFS($J:$J,$A:$A,"&gt;"&amp;AC4,$A:$A,"&lt;="&amp;AC5)/1000</f>
        <v>299.88587188071057</v>
      </c>
    </row>
    <row r="7" spans="1:37" x14ac:dyDescent="0.35">
      <c r="F7" s="57" t="s">
        <v>110</v>
      </c>
      <c r="G7" s="8">
        <v>1</v>
      </c>
      <c r="H7" s="2"/>
      <c r="X7" s="25" t="s">
        <v>133</v>
      </c>
      <c r="Y7" s="95">
        <f>COUNTIF(Y16:Y77,"&gt;0")</f>
        <v>26</v>
      </c>
      <c r="Z7" s="96">
        <f>COUNTIF(Z16:Z77,"&gt;0")</f>
        <v>21</v>
      </c>
      <c r="AA7" s="96">
        <f>COUNTIF(AA16:AA77,"&gt;0")</f>
        <v>32</v>
      </c>
      <c r="AB7" s="96">
        <f>COUNTIF(AB16:AB77,"&gt;0")</f>
        <v>48</v>
      </c>
      <c r="AC7" s="97">
        <f>COUNTIF(AC16:AC77,"&gt;0")</f>
        <v>15</v>
      </c>
    </row>
    <row r="8" spans="1:37" x14ac:dyDescent="0.35">
      <c r="F8" s="127" t="s">
        <v>167</v>
      </c>
      <c r="G8" s="58">
        <f>4*(G7-1)+4</f>
        <v>4</v>
      </c>
      <c r="H8" s="2"/>
      <c r="X8" s="25" t="s">
        <v>139</v>
      </c>
      <c r="Y8" s="98">
        <f>SUMPRODUCT($K16:$K77,Y16:Y77)</f>
        <v>1.3027437774320675E-2</v>
      </c>
      <c r="Z8" s="69">
        <f>SUMPRODUCT($K16:$K77,Z16:Z77)</f>
        <v>1.2300667954737643E-2</v>
      </c>
      <c r="AA8" s="69">
        <f>SUMPRODUCT($K16:$K77,AA16:AA77)</f>
        <v>1.3701459608613934E-2</v>
      </c>
      <c r="AB8" s="69">
        <f>SUMPRODUCT($K16:$K77,AB16:AB77)</f>
        <v>1.5523548538411399E-2</v>
      </c>
      <c r="AC8" s="99">
        <f>SUMPRODUCT($K16:$K77,AC16:AC77)</f>
        <v>2.3841143698645616E-2</v>
      </c>
    </row>
    <row r="9" spans="1:37" x14ac:dyDescent="0.35">
      <c r="F9" s="143" t="s">
        <v>208</v>
      </c>
      <c r="G9" s="142" cm="1">
        <f t="array" ref="G9">INDEX(Quotes!1:1,1,G8+1)</f>
        <v>45968</v>
      </c>
      <c r="H9" s="2" t="str">
        <f>TEXT(G9,"dddd")</f>
        <v>Friday</v>
      </c>
      <c r="X9" s="25" t="s">
        <v>134</v>
      </c>
      <c r="Y9" s="100">
        <f>SUMPRODUCT($U15:$U76,Y15:Y76)</f>
        <v>2.4401086506221676</v>
      </c>
      <c r="Z9" s="34">
        <f>SUMPRODUCT($U15:$U76,Z15:Z76)</f>
        <v>2.9500619780808215</v>
      </c>
      <c r="AA9" s="34">
        <f>SUMPRODUCT($U15:$U76,AA15:AA76)</f>
        <v>4.617906247699441</v>
      </c>
      <c r="AB9" s="34">
        <f>SUMPRODUCT($U15:$U76,AB15:AB76)</f>
        <v>7.5661961259643045</v>
      </c>
      <c r="AC9" s="101">
        <f>SUMPRODUCT($U15:$U76,AC15:AC76)</f>
        <v>21.159071987045493</v>
      </c>
    </row>
    <row r="10" spans="1:37" x14ac:dyDescent="0.35">
      <c r="F10" s="152" t="s">
        <v>216</v>
      </c>
      <c r="G10" s="1" cm="1">
        <f t="array" ref="G10">INDEX(Quotes!2:2,1,G8+1)</f>
        <v>45971</v>
      </c>
      <c r="H10" s="2" t="str">
        <f>TEXT(G10,"dddd")</f>
        <v>Monday</v>
      </c>
      <c r="X10" s="25" t="s">
        <v>137</v>
      </c>
      <c r="Y10" s="100">
        <f>SUMPRODUCT($W16:$W77,Y16:Y77)</f>
        <v>2.3964270762499664</v>
      </c>
      <c r="Z10" s="34">
        <f>SUMPRODUCT($W16:$W77,Z16:Z77)</f>
        <v>2.8950390404601412</v>
      </c>
      <c r="AA10" s="34">
        <f>SUMPRODUCT($W16:$W77,AA16:AA77)</f>
        <v>4.4391283327442226</v>
      </c>
      <c r="AB10" s="34">
        <f>SUMPRODUCT($W16:$W77,AB16:AB77)</f>
        <v>6.9292810618069458</v>
      </c>
      <c r="AC10" s="101">
        <f>SUMPRODUCT($W16:$W77,AC16:AC77)</f>
        <v>18.429824344263967</v>
      </c>
    </row>
    <row r="11" spans="1:37" x14ac:dyDescent="0.35">
      <c r="F11" s="151" t="s">
        <v>217</v>
      </c>
      <c r="G11" s="142">
        <f>DATE(YEAR(G9),MONTH(G9)+2,15)</f>
        <v>46037</v>
      </c>
      <c r="X11" s="25" t="s">
        <v>138</v>
      </c>
      <c r="Y11" s="100">
        <f>SUMPRODUCT($V16:$V77,Y16:Y77)</f>
        <v>2.3816353186788248</v>
      </c>
      <c r="Z11" s="34">
        <f>SUMPRODUCT($V16:$V77,Z16:Z77)</f>
        <v>2.877198998920949</v>
      </c>
      <c r="AA11" s="34">
        <f>SUMPRODUCT($V16:$V77,AA16:AA77)</f>
        <v>4.406749275517015</v>
      </c>
      <c r="AB11" s="34">
        <f>SUMPRODUCT($V16:$V77,AB16:AB77)</f>
        <v>6.8638613844523171</v>
      </c>
      <c r="AC11" s="101">
        <f>SUMPRODUCT($V16:$V77,AC16:AC77)</f>
        <v>18.211011335492493</v>
      </c>
    </row>
    <row r="12" spans="1:37" x14ac:dyDescent="0.35">
      <c r="F12" s="28" t="str">
        <f>"Reference CPI on "&amp;TEXT(G9,"m/d/yyyy")&amp;" --&gt; "</f>
        <v xml:space="preserve">Reference CPI on 11/7/2025 --&gt; </v>
      </c>
      <c r="G12" s="21">
        <f>IF(VLOOKUP(YEAR(EDATE(G9-1,-2)),CPI!$A:$M,MONTH(EDATE(G9-1,-2))+1,FALSE)="","NEED CPI",ROUND((VLOOKUP(YEAR(EDATE(G9,-2)),CPI!$A:$M,MONTH(EDATE(G9,-2))+1,FALSE)*(DAY(G9)-1)+VLOOKUP(YEAR(EDATE(G9,-3)),CPI!$A:$M,MONTH(EDATE(G9,-3))+1,FALSE)*(DAY(EOMONTH(G9,0))-DAY(G9)+1))/DAY(EOMONTH(G9,0)),5))</f>
        <v>324.14080000000001</v>
      </c>
      <c r="H12" s="2"/>
      <c r="X12" s="25" t="str">
        <f>"Fall if rates rise "&amp;TEXT(R15,"#0%")&amp;" --&gt;"</f>
        <v>Fall if rates rise 2% --&gt;</v>
      </c>
      <c r="Y12" s="102">
        <f>SUMPRODUCT($X16:$X77,Y16:Y77)</f>
        <v>4.59221485689046E-2</v>
      </c>
      <c r="Z12" s="103">
        <f>SUMPRODUCT($X16:$X77,Z16:Z77)</f>
        <v>5.5416259209241536E-2</v>
      </c>
      <c r="AA12" s="103">
        <f>SUMPRODUCT($X16:$X77,AA16:AA77)</f>
        <v>8.2904682093812132E-2</v>
      </c>
      <c r="AB12" s="103">
        <f>SUMPRODUCT($X16:$X77,AB16:AB77)</f>
        <v>0.121275928640092</v>
      </c>
      <c r="AC12" s="104">
        <f>SUMPRODUCT($X16:$X77,AC16:AC77)</f>
        <v>0.29782453106469142</v>
      </c>
    </row>
    <row r="13" spans="1:37" x14ac:dyDescent="0.35">
      <c r="G13" s="7"/>
      <c r="H13" s="147"/>
      <c r="P13" s="60"/>
      <c r="Q13" s="70" t="s">
        <v>119</v>
      </c>
      <c r="R13" s="61"/>
    </row>
    <row r="14" spans="1:37" x14ac:dyDescent="0.35">
      <c r="A14" s="11"/>
      <c r="B14" s="10"/>
      <c r="C14" s="11"/>
      <c r="D14" s="29" t="s">
        <v>101</v>
      </c>
      <c r="E14" s="30" t="s">
        <v>89</v>
      </c>
      <c r="F14" s="31" t="s">
        <v>102</v>
      </c>
      <c r="G14" s="32" t="s">
        <v>93</v>
      </c>
      <c r="H14" s="33" t="s">
        <v>95</v>
      </c>
      <c r="I14" s="192" t="s">
        <v>2</v>
      </c>
      <c r="J14" s="32" t="s">
        <v>96</v>
      </c>
      <c r="K14" s="11"/>
      <c r="L14" s="222" t="s">
        <v>166</v>
      </c>
      <c r="M14" s="222" t="s">
        <v>265</v>
      </c>
      <c r="N14" s="82" t="s">
        <v>111</v>
      </c>
      <c r="O14" s="82" t="s">
        <v>113</v>
      </c>
      <c r="P14" s="32"/>
      <c r="Q14" s="71" t="s">
        <v>120</v>
      </c>
      <c r="R14" s="62"/>
      <c r="S14" s="84" t="s">
        <v>117</v>
      </c>
      <c r="T14" s="85"/>
      <c r="U14"/>
      <c r="V14" s="84" t="s">
        <v>116</v>
      </c>
      <c r="W14" s="85"/>
      <c r="X14" s="66" t="s">
        <v>118</v>
      </c>
      <c r="Y14"/>
      <c r="Z14"/>
      <c r="AA14" s="22"/>
      <c r="AB14" s="22"/>
      <c r="AC14" s="22"/>
    </row>
    <row r="15" spans="1:37" x14ac:dyDescent="0.35">
      <c r="A15" s="29" t="s">
        <v>98</v>
      </c>
      <c r="B15" s="35" t="s">
        <v>99</v>
      </c>
      <c r="C15" s="36" t="s">
        <v>100</v>
      </c>
      <c r="D15" s="37" t="s">
        <v>48</v>
      </c>
      <c r="E15" s="38" t="s">
        <v>103</v>
      </c>
      <c r="F15" s="39" t="s">
        <v>97</v>
      </c>
      <c r="G15" s="40" t="s">
        <v>94</v>
      </c>
      <c r="H15" s="40" t="s">
        <v>90</v>
      </c>
      <c r="I15" s="193" t="s">
        <v>49</v>
      </c>
      <c r="J15" s="41" t="s">
        <v>97</v>
      </c>
      <c r="K15" s="59" t="s">
        <v>0</v>
      </c>
      <c r="L15" s="223" t="s">
        <v>270</v>
      </c>
      <c r="M15" s="223" t="s">
        <v>266</v>
      </c>
      <c r="N15" s="86" t="s">
        <v>112</v>
      </c>
      <c r="O15" s="86" t="s">
        <v>114</v>
      </c>
      <c r="P15" s="86" t="s">
        <v>115</v>
      </c>
      <c r="Q15" s="87">
        <v>9.9999999999999995E-7</v>
      </c>
      <c r="R15" s="88">
        <v>0.02</v>
      </c>
      <c r="S15" s="44" t="s">
        <v>91</v>
      </c>
      <c r="T15" s="83" t="s">
        <v>92</v>
      </c>
      <c r="U15" s="89" t="s">
        <v>132</v>
      </c>
      <c r="V15" s="65" t="s">
        <v>92</v>
      </c>
      <c r="W15" s="67" t="s">
        <v>91</v>
      </c>
      <c r="X15" s="86" t="str">
        <f>TEXT(R15,"#0%")&amp;" Chg"</f>
        <v>2% Chg</v>
      </c>
      <c r="Y15" s="42"/>
      <c r="Z15" s="42"/>
      <c r="AA15" s="43" t="s">
        <v>109</v>
      </c>
      <c r="AB15" s="42"/>
      <c r="AC15" s="44"/>
      <c r="AE15"/>
      <c r="AF15"/>
      <c r="AH15"/>
      <c r="AI15"/>
      <c r="AJ15"/>
      <c r="AK15"/>
    </row>
    <row r="16" spans="1:37" x14ac:dyDescent="0.35">
      <c r="A16" s="45">
        <v>46037</v>
      </c>
      <c r="B16" s="46">
        <v>6.2500000000000003E-3</v>
      </c>
      <c r="C16" s="2">
        <v>10</v>
      </c>
      <c r="D16" s="1">
        <f t="shared" ref="D16:D77" si="1">IF(A16&lt;G$11,"",EDATE(A16,-12*C16))</f>
        <v>42384</v>
      </c>
      <c r="E16" s="47">
        <f>IF(A16&lt;G$11,"",ROUND((VLOOKUP(YEAR(EDATE(D16,-2)),CPI!$A:$M,MONTH(EDATE(D16,-2))+1,FALSE)*(DAY(D16)-1)+VLOOKUP(YEAR(EDATE(D16,-3)),CPI!$A:$M,MONTH(EDATE(D16,-3))+1,FALSE)*(DAY(EOMONTH(D16,0))-DAY(D16)+1))/DAY(EOMONTH(D16,0)),5))</f>
        <v>237.61129</v>
      </c>
      <c r="F16" s="48">
        <f>IF(A16&lt;G$11,"",VLOOKUP($A16+$B16,Quotes!$A:$AAO,$G$8,FALSE))</f>
        <v>42426.146000000001</v>
      </c>
      <c r="G16" s="47">
        <f t="shared" ref="G16:G77" si="2">IF(A16&lt;G$11,"",ROUND(G$12/E16,5))</f>
        <v>1.36416</v>
      </c>
      <c r="H16" s="50">
        <f t="shared" ref="H16:H77" si="3">IF(A16&lt;G$11,"",F16*G16)</f>
        <v>57876.051327360001</v>
      </c>
      <c r="I16" s="47">
        <f>IF(A16&lt;G$11,"",VLOOKUP($A16+$B16,Quotes!$A:$AAO,$G$8+2,FALSE))</f>
        <v>99.749999999999986</v>
      </c>
      <c r="J16" s="50">
        <f t="shared" ref="J16:J46" si="4">IF(A16&lt;G$11,"",H16*I16/100)</f>
        <v>57731.361199041596</v>
      </c>
      <c r="K16" s="49">
        <f>IF(A16&lt;G$11,"",VLOOKUP($A16+$B16,Quotes!$A:$AAO,$G$8+3,FALSE))</f>
        <v>2.0889999999999999E-2</v>
      </c>
      <c r="L16" s="226">
        <f t="shared" ref="L16:L77" si="5">IF(A16&lt;G$11,"",YEAR(A16))</f>
        <v>2026</v>
      </c>
      <c r="M16" s="224">
        <f>IF(A16&lt;G$11,"",J16*K16)</f>
        <v>1206.0081354479789</v>
      </c>
      <c r="N16" s="114">
        <f t="shared" ref="N16:N46" si="6">IF(A16&lt;G$11,"",COUPDAYSNC(G$10,A16,2,1)/COUPDAYS(G$10,A16,2,1))</f>
        <v>0.35869565217391303</v>
      </c>
      <c r="O16" s="48">
        <f t="shared" ref="O16:O46" si="7">IF(A16&lt;G$11,"",COUPNUM(G$10,A16,2,1)-1)</f>
        <v>0</v>
      </c>
      <c r="P16" s="63">
        <f t="shared" ref="P16:P46" si="8">IF(A16&lt;G$11,"",100*(-PV(K16/2,O16,B16/2,1,0)+B16/2)/(1+K16/2)^N16)</f>
        <v>99.939316675119329</v>
      </c>
      <c r="Q16" s="64">
        <f t="shared" ref="Q16:Q46" si="9">IF(A16&lt;G$11,"",100*(-PV(($K16+Q$15)/2,$O16,$B16/2,1,0)+$B16/2)/(1+($K16+Q$15)/2)^$N16)</f>
        <v>99.939298936505963</v>
      </c>
      <c r="R16" s="64">
        <f t="shared" ref="R16:R46" si="10">IF(A16&lt;G$11,"",100*(-PV(($K16+R$15)/2,$O16,$B16/2,1,0)+$B16/2)/(1+($K16+R$15)/2)^$N16)</f>
        <v>99.586911107152545</v>
      </c>
      <c r="S16" s="64">
        <f t="shared" ref="S16:S46" si="11">IF(A16&lt;G$11,"",DURATION($G$10,$A16,$B16,$K16,2,1))</f>
        <v>0.1793478260869566</v>
      </c>
      <c r="T16" s="64">
        <f t="shared" ref="T16:T46" si="12">IF(A16&lt;G$11,"",MDURATION($G$10,$A16,$B16,$K16,2,1))</f>
        <v>0.17749390227766637</v>
      </c>
      <c r="U16" s="64">
        <f t="shared" ref="U16:U46" si="13">IF(A16&lt;G$11,"",(O16+N16)/2)</f>
        <v>0.17934782608695651</v>
      </c>
      <c r="V16" s="64">
        <f t="shared" ref="V16:V46" si="14">IF(A16&lt;G$11,"",-(Q16/P16-1)/Q$15)</f>
        <v>0.17749384284559966</v>
      </c>
      <c r="W16" s="64">
        <f t="shared" ref="W16:W46" si="15">IF(A16&lt;G$11,"",V16*(1+K16/2))</f>
        <v>0.17934776603412195</v>
      </c>
      <c r="X16" s="68">
        <f t="shared" ref="X16:X46" si="16">IF(A16&lt;G$11,"",-(R16/P16-1))</f>
        <v>3.5261954923343497E-3</v>
      </c>
      <c r="Y16" s="91">
        <f t="shared" ref="Y16:Y27" si="17">IF(AND($A16&gt;=$G$11,Y$4&lt;$A16,$A16&lt;=Y$5),$J16/1000/Y$6,"")</f>
        <v>5.0985374079354315E-2</v>
      </c>
      <c r="Z16" s="49" t="str">
        <f t="shared" ref="Z16:AC33" si="18">IF(AND($A16&gt;=$G$11,Z$4&lt;$A16,$A16&lt;=Z$5),$J16/1000/Z$6,"")</f>
        <v/>
      </c>
      <c r="AA16" s="49" t="str">
        <f t="shared" si="18"/>
        <v/>
      </c>
      <c r="AB16" s="49" t="str">
        <f t="shared" si="18"/>
        <v/>
      </c>
      <c r="AC16" s="90" t="str">
        <f t="shared" si="18"/>
        <v/>
      </c>
      <c r="AE16"/>
      <c r="AF16"/>
      <c r="AH16"/>
      <c r="AI16"/>
      <c r="AJ16"/>
      <c r="AK16"/>
    </row>
    <row r="17" spans="1:37" x14ac:dyDescent="0.35">
      <c r="A17" s="45">
        <v>46037</v>
      </c>
      <c r="B17" s="46">
        <v>0.02</v>
      </c>
      <c r="C17" s="2">
        <v>20</v>
      </c>
      <c r="D17" s="1">
        <f t="shared" si="1"/>
        <v>38732</v>
      </c>
      <c r="E17" s="47">
        <f>IF(A17&lt;G$11,"",ROUND((VLOOKUP(YEAR(EDATE(D17,-2)),CPI!$A:$M,MONTH(EDATE(D17,-2))+1,FALSE)*(DAY(D17)-1)+VLOOKUP(YEAR(EDATE(D17,-3)),CPI!$A:$M,MONTH(EDATE(D17,-3))+1,FALSE)*(DAY(EOMONTH(D17,0))-DAY(D17)+1))/DAY(EOMONTH(D17,0)),5))</f>
        <v>198.47742</v>
      </c>
      <c r="F17" s="48">
        <f>IF(A17&lt;G$11,"",VLOOKUP($A17+$B17,Quotes!$A:$AAO,$G$8,FALSE))</f>
        <v>20000.008000000002</v>
      </c>
      <c r="G17" s="47">
        <f t="shared" si="2"/>
        <v>1.63314</v>
      </c>
      <c r="H17" s="50">
        <f t="shared" si="3"/>
        <v>32662.813065120004</v>
      </c>
      <c r="I17" s="47">
        <f>IF(A17&lt;G$11,"",VLOOKUP($A17+$B17,Quotes!$A:$AAO,$G$8+2,FALSE))</f>
        <v>99.96875</v>
      </c>
      <c r="J17" s="50">
        <f t="shared" si="4"/>
        <v>32652.605936037155</v>
      </c>
      <c r="K17" s="49">
        <f>IF(A17&lt;G$11,"",VLOOKUP($A17+$B17,Quotes!$A:$AAO,$G$8+3,FALSE))</f>
        <v>2.1920000000000002E-2</v>
      </c>
      <c r="L17" s="226">
        <f t="shared" si="5"/>
        <v>2026</v>
      </c>
      <c r="M17" s="224">
        <f t="shared" ref="M17:M77" si="19">IF(A17&lt;G$11,"",J17*K17)</f>
        <v>715.74512211793444</v>
      </c>
      <c r="N17" s="114">
        <f t="shared" si="6"/>
        <v>0.35869565217391303</v>
      </c>
      <c r="O17" s="48">
        <f t="shared" si="7"/>
        <v>0</v>
      </c>
      <c r="P17" s="63">
        <f t="shared" si="8"/>
        <v>100.60586940124124</v>
      </c>
      <c r="Q17" s="64">
        <f t="shared" si="9"/>
        <v>100.6058515534155</v>
      </c>
      <c r="R17" s="64">
        <f t="shared" si="10"/>
        <v>100.25129295293276</v>
      </c>
      <c r="S17" s="64">
        <f t="shared" si="11"/>
        <v>0.17934782608695657</v>
      </c>
      <c r="T17" s="64">
        <f t="shared" si="12"/>
        <v>0.17740348390337557</v>
      </c>
      <c r="U17" s="64">
        <f t="shared" si="13"/>
        <v>0.17934782608695651</v>
      </c>
      <c r="V17" s="64">
        <f t="shared" si="14"/>
        <v>0.17740342428407274</v>
      </c>
      <c r="W17" s="64">
        <f t="shared" si="15"/>
        <v>0.17934776581422621</v>
      </c>
      <c r="X17" s="68">
        <f t="shared" si="16"/>
        <v>3.5244111543267787E-3</v>
      </c>
      <c r="Y17" s="91">
        <f t="shared" si="17"/>
        <v>2.8837105062789289E-2</v>
      </c>
      <c r="Z17" s="49" t="str">
        <f t="shared" si="18"/>
        <v/>
      </c>
      <c r="AA17" s="49" t="str">
        <f t="shared" si="18"/>
        <v/>
      </c>
      <c r="AB17" s="49" t="str">
        <f t="shared" si="18"/>
        <v/>
      </c>
      <c r="AC17" s="90" t="str">
        <f t="shared" si="18"/>
        <v/>
      </c>
      <c r="AE17"/>
      <c r="AF17"/>
      <c r="AH17"/>
      <c r="AI17"/>
      <c r="AJ17"/>
      <c r="AK17"/>
    </row>
    <row r="18" spans="1:37" x14ac:dyDescent="0.35">
      <c r="A18" s="45">
        <v>46127</v>
      </c>
      <c r="B18" s="46">
        <v>1.25E-3</v>
      </c>
      <c r="C18" s="2">
        <v>5</v>
      </c>
      <c r="D18" s="1">
        <f t="shared" si="1"/>
        <v>44301</v>
      </c>
      <c r="E18" s="47">
        <f>IF(A18&lt;G$11,"",ROUND((VLOOKUP(YEAR(EDATE(D18,-2)),CPI!$A:$M,MONTH(EDATE(D18,-2))+1,FALSE)*(DAY(D18)-1)+VLOOKUP(YEAR(EDATE(D18,-3)),CPI!$A:$M,MONTH(EDATE(D18,-3))+1,FALSE)*(DAY(EOMONTH(D18,0))-DAY(D18)+1))/DAY(EOMONTH(D18,0)),5))</f>
        <v>262.25027</v>
      </c>
      <c r="F18" s="48">
        <f>IF(A18&lt;G$11,"",VLOOKUP($A18+$B18,Quotes!$A:$AAO,$G$8,FALSE))</f>
        <v>39866.366000000002</v>
      </c>
      <c r="G18" s="47">
        <f t="shared" si="2"/>
        <v>1.236</v>
      </c>
      <c r="H18" s="50">
        <f t="shared" si="3"/>
        <v>49274.828376000005</v>
      </c>
      <c r="I18" s="47">
        <f>IF(A18&lt;G$11,"",VLOOKUP($A18+$B18,Quotes!$A:$AAO,$G$8+2,FALSE))</f>
        <v>99.312499999999986</v>
      </c>
      <c r="J18" s="50">
        <f t="shared" si="4"/>
        <v>48936.063930914999</v>
      </c>
      <c r="K18" s="49">
        <f>IF(A18&lt;G$11,"",VLOOKUP($A18+$B18,Quotes!$A:$AAO,$G$8+3,FALSE))</f>
        <v>1.7239999999999998E-2</v>
      </c>
      <c r="L18" s="226">
        <f t="shared" si="5"/>
        <v>2026</v>
      </c>
      <c r="M18" s="224">
        <f t="shared" si="19"/>
        <v>843.65774216897455</v>
      </c>
      <c r="N18" s="114">
        <f t="shared" si="6"/>
        <v>0.8571428571428571</v>
      </c>
      <c r="O18" s="48">
        <f t="shared" si="7"/>
        <v>0</v>
      </c>
      <c r="P18" s="63">
        <f t="shared" si="8"/>
        <v>99.329050610168593</v>
      </c>
      <c r="Q18" s="64">
        <f t="shared" si="9"/>
        <v>99.329008404408739</v>
      </c>
      <c r="R18" s="64">
        <f t="shared" si="10"/>
        <v>98.492633567993565</v>
      </c>
      <c r="S18" s="64">
        <f t="shared" si="11"/>
        <v>0.42857142857142866</v>
      </c>
      <c r="T18" s="64">
        <f t="shared" si="12"/>
        <v>0.42490871544429876</v>
      </c>
      <c r="U18" s="64">
        <f t="shared" si="13"/>
        <v>0.42857142857142855</v>
      </c>
      <c r="V18" s="64">
        <f t="shared" si="14"/>
        <v>0.42490851970278243</v>
      </c>
      <c r="W18" s="64">
        <f t="shared" si="15"/>
        <v>0.42857123114262047</v>
      </c>
      <c r="X18" s="68">
        <f t="shared" si="16"/>
        <v>8.4206688480057412E-3</v>
      </c>
      <c r="Y18" s="91">
        <f t="shared" si="17"/>
        <v>4.3217819113718026E-2</v>
      </c>
      <c r="Z18" s="49" t="str">
        <f t="shared" si="18"/>
        <v/>
      </c>
      <c r="AA18" s="49" t="str">
        <f t="shared" si="18"/>
        <v/>
      </c>
      <c r="AB18" s="49" t="str">
        <f t="shared" si="18"/>
        <v/>
      </c>
      <c r="AC18" s="90" t="str">
        <f t="shared" si="18"/>
        <v/>
      </c>
      <c r="AE18"/>
      <c r="AF18"/>
      <c r="AH18"/>
      <c r="AI18"/>
      <c r="AJ18"/>
      <c r="AK18"/>
    </row>
    <row r="19" spans="1:37" x14ac:dyDescent="0.35">
      <c r="A19" s="45">
        <v>46218</v>
      </c>
      <c r="B19" s="46">
        <v>1.25E-3</v>
      </c>
      <c r="C19" s="2">
        <v>10</v>
      </c>
      <c r="D19" s="1">
        <f t="shared" si="1"/>
        <v>42566</v>
      </c>
      <c r="E19" s="47">
        <f>IF(A19&lt;G$11,"",ROUND((VLOOKUP(YEAR(EDATE(D19,-2)),CPI!$A:$M,MONTH(EDATE(D19,-2))+1,FALSE)*(DAY(D19)-1)+VLOOKUP(YEAR(EDATE(D19,-3)),CPI!$A:$M,MONTH(EDATE(D19,-3))+1,FALSE)*(DAY(EOMONTH(D19,0))-DAY(D19)+1))/DAY(EOMONTH(D19,0)),5))</f>
        <v>239.70132000000001</v>
      </c>
      <c r="F19" s="48">
        <f>IF(A19&lt;G$11,"",VLOOKUP($A19+$B19,Quotes!$A:$AAO,$G$8,FALSE))</f>
        <v>36841.337</v>
      </c>
      <c r="G19" s="47">
        <f t="shared" si="2"/>
        <v>1.3522700000000001</v>
      </c>
      <c r="H19" s="50">
        <f t="shared" si="3"/>
        <v>49819.43478499</v>
      </c>
      <c r="I19" s="47">
        <f>IF(A19&lt;G$11,"",VLOOKUP($A19+$B19,Quotes!$A:$AAO,$G$8+2,FALSE))</f>
        <v>99.4375</v>
      </c>
      <c r="J19" s="50">
        <f t="shared" si="4"/>
        <v>49539.200464324429</v>
      </c>
      <c r="K19" s="49">
        <f>IF(A19&lt;G$11,"",VLOOKUP($A19+$B19,Quotes!$A:$AAO,$G$8+3,FALSE))</f>
        <v>9.7400000000000004E-3</v>
      </c>
      <c r="L19" s="226">
        <f t="shared" si="5"/>
        <v>2026</v>
      </c>
      <c r="M19" s="224">
        <f t="shared" si="19"/>
        <v>482.51181252251996</v>
      </c>
      <c r="N19" s="114">
        <f t="shared" si="6"/>
        <v>0.35869565217391303</v>
      </c>
      <c r="O19" s="48">
        <f t="shared" si="7"/>
        <v>1</v>
      </c>
      <c r="P19" s="63">
        <f t="shared" si="8"/>
        <v>99.466574933654044</v>
      </c>
      <c r="Q19" s="64">
        <f t="shared" si="9"/>
        <v>99.466507719819163</v>
      </c>
      <c r="R19" s="64">
        <f t="shared" si="10"/>
        <v>98.137899340368492</v>
      </c>
      <c r="S19" s="64">
        <f t="shared" si="11"/>
        <v>0.67903419720266978</v>
      </c>
      <c r="T19" s="64">
        <f t="shared" si="12"/>
        <v>0.67574332719920971</v>
      </c>
      <c r="U19" s="64">
        <f t="shared" si="13"/>
        <v>0.67934782608695654</v>
      </c>
      <c r="V19" s="64">
        <f t="shared" si="14"/>
        <v>0.67574293094452287</v>
      </c>
      <c r="W19" s="64">
        <f t="shared" si="15"/>
        <v>0.67903379901822269</v>
      </c>
      <c r="X19" s="68">
        <f t="shared" si="16"/>
        <v>1.3358010911422302E-2</v>
      </c>
      <c r="Y19" s="91">
        <f t="shared" si="17"/>
        <v>4.3750478332869012E-2</v>
      </c>
      <c r="Z19" s="49" t="str">
        <f t="shared" si="18"/>
        <v/>
      </c>
      <c r="AA19" s="49" t="str">
        <f t="shared" si="18"/>
        <v/>
      </c>
      <c r="AB19" s="49" t="str">
        <f t="shared" si="18"/>
        <v/>
      </c>
      <c r="AC19" s="90" t="str">
        <f t="shared" si="18"/>
        <v/>
      </c>
      <c r="AE19"/>
      <c r="AF19"/>
      <c r="AH19"/>
      <c r="AI19"/>
      <c r="AJ19"/>
      <c r="AK19"/>
    </row>
    <row r="20" spans="1:37" x14ac:dyDescent="0.35">
      <c r="A20" s="45">
        <v>46310</v>
      </c>
      <c r="B20" s="46">
        <v>1.25E-3</v>
      </c>
      <c r="C20" s="2">
        <v>5</v>
      </c>
      <c r="D20" s="1">
        <f t="shared" si="1"/>
        <v>44484</v>
      </c>
      <c r="E20" s="47">
        <f>IF(A20&lt;G$11,"",ROUND((VLOOKUP(YEAR(EDATE(D20,-2)),CPI!$A:$M,MONTH(EDATE(D20,-2))+1,FALSE)*(DAY(D20)-1)+VLOOKUP(YEAR(EDATE(D20,-3)),CPI!$A:$M,MONTH(EDATE(D20,-3))+1,FALSE)*(DAY(EOMONTH(D20,0))-DAY(D20)+1))/DAY(EOMONTH(D20,0)),5))</f>
        <v>273.25770999999997</v>
      </c>
      <c r="F20" s="48">
        <f>IF(A20&lt;G$11,"",VLOOKUP($A20+$B20,Quotes!$A:$AAO,$G$8,FALSE))</f>
        <v>38309.758999999998</v>
      </c>
      <c r="G20" s="47">
        <f t="shared" si="2"/>
        <v>1.18621</v>
      </c>
      <c r="H20" s="50">
        <f t="shared" si="3"/>
        <v>45443.419223389996</v>
      </c>
      <c r="I20" s="47">
        <f>IF(A20&lt;G$11,"",VLOOKUP($A20+$B20,Quotes!$A:$AAO,$G$8+2,FALSE))</f>
        <v>99.1875</v>
      </c>
      <c r="J20" s="50">
        <f t="shared" si="4"/>
        <v>45074.191442199954</v>
      </c>
      <c r="K20" s="49">
        <f>IF(A20&lt;G$11,"",VLOOKUP($A20+$B20,Quotes!$A:$AAO,$G$8+3,FALSE))</f>
        <v>1.004E-2</v>
      </c>
      <c r="L20" s="226">
        <f t="shared" si="5"/>
        <v>2026</v>
      </c>
      <c r="M20" s="224">
        <f t="shared" si="19"/>
        <v>452.54488207968757</v>
      </c>
      <c r="N20" s="114">
        <f t="shared" si="6"/>
        <v>0.8571428571428571</v>
      </c>
      <c r="O20" s="48">
        <f t="shared" si="7"/>
        <v>1</v>
      </c>
      <c r="P20" s="63">
        <f t="shared" si="8"/>
        <v>99.198511007747797</v>
      </c>
      <c r="Q20" s="64">
        <f t="shared" si="9"/>
        <v>99.198419385967625</v>
      </c>
      <c r="R20" s="64">
        <f t="shared" si="10"/>
        <v>97.391789189434022</v>
      </c>
      <c r="S20" s="64">
        <f t="shared" si="11"/>
        <v>0.92825775290017509</v>
      </c>
      <c r="T20" s="64">
        <f t="shared" si="12"/>
        <v>0.92362117460366466</v>
      </c>
      <c r="U20" s="64">
        <f t="shared" si="13"/>
        <v>0.9285714285714286</v>
      </c>
      <c r="V20" s="64">
        <f t="shared" si="14"/>
        <v>0.92362051851146987</v>
      </c>
      <c r="W20" s="64">
        <f t="shared" si="15"/>
        <v>0.92825709351439745</v>
      </c>
      <c r="X20" s="68">
        <f t="shared" si="16"/>
        <v>1.821319493568474E-2</v>
      </c>
      <c r="Y20" s="91">
        <f t="shared" si="17"/>
        <v>3.9807211613835068E-2</v>
      </c>
      <c r="Z20" s="49" t="str">
        <f t="shared" si="18"/>
        <v/>
      </c>
      <c r="AA20" s="49" t="str">
        <f t="shared" si="18"/>
        <v/>
      </c>
      <c r="AB20" s="49" t="str">
        <f t="shared" si="18"/>
        <v/>
      </c>
      <c r="AC20" s="90" t="str">
        <f t="shared" si="18"/>
        <v/>
      </c>
      <c r="AE20"/>
      <c r="AF20"/>
      <c r="AH20"/>
      <c r="AI20"/>
      <c r="AJ20"/>
      <c r="AK20"/>
    </row>
    <row r="21" spans="1:37" x14ac:dyDescent="0.35">
      <c r="A21" s="45">
        <v>46402</v>
      </c>
      <c r="B21" s="46">
        <v>3.7499999999999999E-3</v>
      </c>
      <c r="C21" s="2">
        <v>10</v>
      </c>
      <c r="D21" s="1">
        <f t="shared" si="1"/>
        <v>42750</v>
      </c>
      <c r="E21" s="47">
        <f>IF(A21&lt;G$11,"",ROUND((VLOOKUP(YEAR(EDATE(D21,-2)),CPI!$A:$M,MONTH(EDATE(D21,-2))+1,FALSE)*(DAY(D21)-1)+VLOOKUP(YEAR(EDATE(D21,-3)),CPI!$A:$M,MONTH(EDATE(D21,-3))+1,FALSE)*(DAY(EOMONTH(D21,0))-DAY(D21)+1))/DAY(EOMONTH(D21,0)),5))</f>
        <v>241.55919</v>
      </c>
      <c r="F21" s="48">
        <f>IF(A21&lt;G$11,"",VLOOKUP($A21+$B21,Quotes!$A:$AAO,$G$8,FALSE))</f>
        <v>38479.618000000002</v>
      </c>
      <c r="G21" s="47">
        <f t="shared" si="2"/>
        <v>1.3418699999999999</v>
      </c>
      <c r="H21" s="50">
        <f t="shared" si="3"/>
        <v>51634.645005660001</v>
      </c>
      <c r="I21" s="47">
        <f>IF(A21&lt;G$11,"",VLOOKUP($A21+$B21,Quotes!$A:$AAO,$G$8+2,FALSE))</f>
        <v>98.906250000000014</v>
      </c>
      <c r="J21" s="50">
        <f t="shared" si="4"/>
        <v>51069.8910759106</v>
      </c>
      <c r="K21" s="49">
        <f>IF(A21&lt;G$11,"",VLOOKUP($A21+$B21,Quotes!$A:$AAO,$G$8+3,FALSE))</f>
        <v>1.3040000000000001E-2</v>
      </c>
      <c r="L21" s="226">
        <f t="shared" si="5"/>
        <v>2027</v>
      </c>
      <c r="M21" s="224">
        <f t="shared" si="19"/>
        <v>665.95137962987428</v>
      </c>
      <c r="N21" s="114">
        <f t="shared" si="6"/>
        <v>0.35869565217391303</v>
      </c>
      <c r="O21" s="48">
        <f t="shared" si="7"/>
        <v>2</v>
      </c>
      <c r="P21" s="63">
        <f t="shared" si="8"/>
        <v>99.036373845951744</v>
      </c>
      <c r="Q21" s="64">
        <f t="shared" si="9"/>
        <v>99.036258082483755</v>
      </c>
      <c r="R21" s="64">
        <f t="shared" si="10"/>
        <v>96.759163175609444</v>
      </c>
      <c r="S21" s="64">
        <f t="shared" si="11"/>
        <v>1.1765206904285779</v>
      </c>
      <c r="T21" s="64">
        <f t="shared" si="12"/>
        <v>1.1688994659108392</v>
      </c>
      <c r="U21" s="64">
        <f t="shared" si="13"/>
        <v>1.1793478260869565</v>
      </c>
      <c r="V21" s="64">
        <f t="shared" si="14"/>
        <v>1.1688984914437484</v>
      </c>
      <c r="W21" s="64">
        <f t="shared" si="15"/>
        <v>1.1765197096079616</v>
      </c>
      <c r="X21" s="68">
        <f t="shared" si="16"/>
        <v>2.2993679815907164E-2</v>
      </c>
      <c r="Y21" s="91">
        <f t="shared" si="17"/>
        <v>4.5102305689968848E-2</v>
      </c>
      <c r="Z21" s="49">
        <f t="shared" si="18"/>
        <v>5.6846724635586189E-2</v>
      </c>
      <c r="AA21" s="49">
        <f t="shared" si="18"/>
        <v>3.559846381188074E-2</v>
      </c>
      <c r="AB21" s="49">
        <f t="shared" si="18"/>
        <v>2.9060083096019856E-2</v>
      </c>
      <c r="AC21" s="90" t="str">
        <f t="shared" si="18"/>
        <v/>
      </c>
      <c r="AE21"/>
      <c r="AF21"/>
      <c r="AH21"/>
      <c r="AI21"/>
      <c r="AJ21"/>
      <c r="AK21"/>
    </row>
    <row r="22" spans="1:37" x14ac:dyDescent="0.35">
      <c r="A22" s="45">
        <v>46402</v>
      </c>
      <c r="B22" s="46">
        <v>2.375E-2</v>
      </c>
      <c r="C22" s="2">
        <v>20</v>
      </c>
      <c r="D22" s="1">
        <f t="shared" si="1"/>
        <v>39097</v>
      </c>
      <c r="E22" s="47">
        <f>IF(A22&lt;G$11,"",ROUND((VLOOKUP(YEAR(EDATE(D22,-2)),CPI!$A:$M,MONTH(EDATE(D22,-2))+1,FALSE)*(DAY(D22)-1)+VLOOKUP(YEAR(EDATE(D22,-3)),CPI!$A:$M,MONTH(EDATE(D22,-3))+1,FALSE)*(DAY(EOMONTH(D22,0))-DAY(D22)+1))/DAY(EOMONTH(D22,0)),5))</f>
        <v>201.66452000000001</v>
      </c>
      <c r="F22" s="48">
        <f>IF(A22&lt;G$11,"",VLOOKUP($A22+$B22,Quotes!$A:$AAO,$G$8,FALSE))</f>
        <v>16482.433000000001</v>
      </c>
      <c r="G22" s="47">
        <f t="shared" si="2"/>
        <v>1.6073299999999999</v>
      </c>
      <c r="H22" s="50">
        <f t="shared" si="3"/>
        <v>26492.709033890002</v>
      </c>
      <c r="I22" s="47">
        <f>IF(A22&lt;G$11,"",VLOOKUP($A22+$B22,Quotes!$A:$AAO,$G$8+2,FALSE))</f>
        <v>101.25</v>
      </c>
      <c r="J22" s="50">
        <f t="shared" si="4"/>
        <v>26823.867896813623</v>
      </c>
      <c r="K22" s="49">
        <f>IF(A22&lt;G$11,"",VLOOKUP($A22+$B22,Quotes!$A:$AAO,$G$8+3,FALSE))</f>
        <v>1.307E-2</v>
      </c>
      <c r="L22" s="226">
        <f t="shared" si="5"/>
        <v>2027</v>
      </c>
      <c r="M22" s="224">
        <f t="shared" si="19"/>
        <v>350.58795341135408</v>
      </c>
      <c r="N22" s="114">
        <f t="shared" si="6"/>
        <v>0.35869565217391303</v>
      </c>
      <c r="O22" s="48">
        <f t="shared" si="7"/>
        <v>2</v>
      </c>
      <c r="P22" s="63">
        <f t="shared" si="8"/>
        <v>102.0065096554796</v>
      </c>
      <c r="Q22" s="64">
        <f t="shared" si="9"/>
        <v>102.00639189722008</v>
      </c>
      <c r="R22" s="64">
        <f t="shared" si="10"/>
        <v>99.689959052321186</v>
      </c>
      <c r="S22" s="64">
        <f t="shared" si="11"/>
        <v>1.1619641601339077</v>
      </c>
      <c r="T22" s="64">
        <f t="shared" si="12"/>
        <v>1.1544200252687762</v>
      </c>
      <c r="U22" s="64">
        <f t="shared" si="13"/>
        <v>1.1793478260869565</v>
      </c>
      <c r="V22" s="64">
        <f t="shared" si="14"/>
        <v>1.1544190652301722</v>
      </c>
      <c r="W22" s="64">
        <f t="shared" si="15"/>
        <v>1.1619631938214514</v>
      </c>
      <c r="X22" s="68">
        <f t="shared" si="16"/>
        <v>2.270983107825586E-2</v>
      </c>
      <c r="Y22" s="91">
        <f t="shared" si="17"/>
        <v>2.3689462894509575E-2</v>
      </c>
      <c r="Z22" s="49">
        <f t="shared" si="18"/>
        <v>2.9858082715018122E-2</v>
      </c>
      <c r="AA22" s="49">
        <f t="shared" si="18"/>
        <v>1.8697680188901073E-2</v>
      </c>
      <c r="AB22" s="49">
        <f t="shared" si="18"/>
        <v>1.5263471560560097E-2</v>
      </c>
      <c r="AC22" s="90" t="str">
        <f t="shared" si="18"/>
        <v/>
      </c>
      <c r="AE22"/>
      <c r="AF22"/>
      <c r="AH22"/>
      <c r="AI22"/>
      <c r="AJ22"/>
      <c r="AK22"/>
    </row>
    <row r="23" spans="1:37" x14ac:dyDescent="0.35">
      <c r="A23" s="45">
        <v>46492</v>
      </c>
      <c r="B23" s="46">
        <v>1.25E-3</v>
      </c>
      <c r="C23" s="2">
        <v>5</v>
      </c>
      <c r="D23" s="1">
        <f t="shared" si="1"/>
        <v>44666</v>
      </c>
      <c r="E23" s="47">
        <f>IF(A23&lt;G$11,"",ROUND((VLOOKUP(YEAR(EDATE(D23,-2)),CPI!$A:$M,MONTH(EDATE(D23,-2))+1,FALSE)*(DAY(D23)-1)+VLOOKUP(YEAR(EDATE(D23,-3)),CPI!$A:$M,MONTH(EDATE(D23,-3))+1,FALSE)*(DAY(EOMONTH(D23,0))-DAY(D23)+1))/DAY(EOMONTH(D23,0)),5))</f>
        <v>282.34640000000002</v>
      </c>
      <c r="F23" s="48">
        <f>IF(A23&lt;G$11,"",VLOOKUP($A23+$B23,Quotes!$A:$AAO,$G$8,FALSE))</f>
        <v>39375.932000000001</v>
      </c>
      <c r="G23" s="47">
        <f t="shared" si="2"/>
        <v>1.1480300000000001</v>
      </c>
      <c r="H23" s="50">
        <f t="shared" si="3"/>
        <v>45204.751213960008</v>
      </c>
      <c r="I23" s="47">
        <f>IF(A23&lt;G$11,"",VLOOKUP($A23+$B23,Quotes!$A:$AAO,$G$8+2,FALSE))</f>
        <v>98.281250000000014</v>
      </c>
      <c r="J23" s="50">
        <f t="shared" si="4"/>
        <v>44427.79455247007</v>
      </c>
      <c r="K23" s="49">
        <f>IF(A23&lt;G$11,"",VLOOKUP($A23+$B23,Quotes!$A:$AAO,$G$8+3,FALSE))</f>
        <v>1.345E-2</v>
      </c>
      <c r="L23" s="226">
        <f t="shared" si="5"/>
        <v>2027</v>
      </c>
      <c r="M23" s="224">
        <f t="shared" si="19"/>
        <v>597.55383673072242</v>
      </c>
      <c r="N23" s="114">
        <f t="shared" si="6"/>
        <v>0.8571428571428571</v>
      </c>
      <c r="O23" s="48">
        <f t="shared" si="7"/>
        <v>2</v>
      </c>
      <c r="P23" s="63">
        <f t="shared" si="8"/>
        <v>98.288406320842014</v>
      </c>
      <c r="Q23" s="64">
        <f t="shared" si="9"/>
        <v>98.288266939313587</v>
      </c>
      <c r="R23" s="64">
        <f t="shared" si="10"/>
        <v>95.553318284466712</v>
      </c>
      <c r="S23" s="64">
        <f t="shared" si="11"/>
        <v>1.4276251786698451</v>
      </c>
      <c r="T23" s="64">
        <f t="shared" si="12"/>
        <v>1.4180885332835134</v>
      </c>
      <c r="U23" s="64">
        <f t="shared" si="13"/>
        <v>1.4285714285714286</v>
      </c>
      <c r="V23" s="64">
        <f t="shared" si="14"/>
        <v>1.4180871746871659</v>
      </c>
      <c r="W23" s="64">
        <f t="shared" si="15"/>
        <v>1.4276238109369372</v>
      </c>
      <c r="X23" s="68">
        <f t="shared" si="16"/>
        <v>2.7827168419510051E-2</v>
      </c>
      <c r="Y23" s="91">
        <f t="shared" si="17"/>
        <v>3.9236347069121082E-2</v>
      </c>
      <c r="Z23" s="49">
        <f t="shared" si="18"/>
        <v>4.9453299192211565E-2</v>
      </c>
      <c r="AA23" s="49">
        <f t="shared" si="18"/>
        <v>3.0968564907783644E-2</v>
      </c>
      <c r="AB23" s="49">
        <f t="shared" si="18"/>
        <v>2.5280559137058196E-2</v>
      </c>
      <c r="AC23" s="90" t="str">
        <f t="shared" si="18"/>
        <v/>
      </c>
      <c r="AE23"/>
      <c r="AF23"/>
      <c r="AH23"/>
      <c r="AI23"/>
      <c r="AJ23"/>
      <c r="AK23"/>
    </row>
    <row r="24" spans="1:37" x14ac:dyDescent="0.35">
      <c r="A24" s="45">
        <v>46583</v>
      </c>
      <c r="B24" s="46">
        <v>3.7499999999999999E-3</v>
      </c>
      <c r="C24" s="2">
        <v>10</v>
      </c>
      <c r="D24" s="1">
        <f t="shared" si="1"/>
        <v>42931</v>
      </c>
      <c r="E24" s="47">
        <f>IF(A24&lt;G$11,"",ROUND((VLOOKUP(YEAR(EDATE(D24,-2)),CPI!$A:$M,MONTH(EDATE(D24,-2))+1,FALSE)*(DAY(D24)-1)+VLOOKUP(YEAR(EDATE(D24,-3)),CPI!$A:$M,MONTH(EDATE(D24,-3))+1,FALSE)*(DAY(EOMONTH(D24,0))-DAY(D24)+1))/DAY(EOMONTH(D24,0)),5))</f>
        <v>244.61839000000001</v>
      </c>
      <c r="F24" s="48">
        <f>IF(A24&lt;G$11,"",VLOOKUP($A24+$B24,Quotes!$A:$AAO,$G$8,FALSE))</f>
        <v>36918.699000000001</v>
      </c>
      <c r="G24" s="47">
        <f t="shared" si="2"/>
        <v>1.3250900000000001</v>
      </c>
      <c r="H24" s="50">
        <f t="shared" si="3"/>
        <v>48920.598857910001</v>
      </c>
      <c r="I24" s="47">
        <f>IF(A24&lt;G$11,"",VLOOKUP($A24+$B24,Quotes!$A:$AAO,$G$8+2,FALSE))</f>
        <v>98.999999999999972</v>
      </c>
      <c r="J24" s="50">
        <f t="shared" si="4"/>
        <v>48431.392869330884</v>
      </c>
      <c r="K24" s="49">
        <f>IF(A24&lt;G$11,"",VLOOKUP($A24+$B24,Quotes!$A:$AAO,$G$8+3,FALSE))</f>
        <v>9.7800000000000005E-3</v>
      </c>
      <c r="L24" s="226">
        <f t="shared" si="5"/>
        <v>2027</v>
      </c>
      <c r="M24" s="224">
        <f t="shared" si="19"/>
        <v>473.65902226205606</v>
      </c>
      <c r="N24" s="114">
        <f t="shared" si="6"/>
        <v>0.35869565217391303</v>
      </c>
      <c r="O24" s="48">
        <f t="shared" si="7"/>
        <v>3</v>
      </c>
      <c r="P24" s="63">
        <f t="shared" si="8"/>
        <v>99.118190855252237</v>
      </c>
      <c r="Q24" s="64">
        <f t="shared" si="9"/>
        <v>99.118025768485182</v>
      </c>
      <c r="R24" s="64">
        <f t="shared" si="10"/>
        <v>95.886749952470083</v>
      </c>
      <c r="S24" s="64">
        <f t="shared" si="11"/>
        <v>1.6737010603144877</v>
      </c>
      <c r="T24" s="64">
        <f t="shared" si="12"/>
        <v>1.6655564890828725</v>
      </c>
      <c r="U24" s="64">
        <f t="shared" si="13"/>
        <v>1.6793478260869565</v>
      </c>
      <c r="V24" s="64">
        <f t="shared" si="14"/>
        <v>1.6655546840604885</v>
      </c>
      <c r="W24" s="64">
        <f t="shared" si="15"/>
        <v>1.6736992464655442</v>
      </c>
      <c r="X24" s="68">
        <f t="shared" si="16"/>
        <v>3.2601895523912461E-2</v>
      </c>
      <c r="Y24" s="91">
        <f t="shared" si="17"/>
        <v>4.2772119543718665E-2</v>
      </c>
      <c r="Z24" s="49">
        <f t="shared" si="18"/>
        <v>5.3909769458259121E-2</v>
      </c>
      <c r="AA24" s="49">
        <f t="shared" si="18"/>
        <v>3.3759288498484689E-2</v>
      </c>
      <c r="AB24" s="49">
        <f t="shared" si="18"/>
        <v>2.755870967390044E-2</v>
      </c>
      <c r="AC24" s="90" t="str">
        <f t="shared" si="18"/>
        <v/>
      </c>
      <c r="AE24"/>
      <c r="AF24"/>
      <c r="AH24"/>
      <c r="AI24"/>
      <c r="AJ24"/>
      <c r="AK24"/>
    </row>
    <row r="25" spans="1:37" x14ac:dyDescent="0.35">
      <c r="A25" s="45">
        <v>46675</v>
      </c>
      <c r="B25" s="46">
        <v>1.6250000000000001E-2</v>
      </c>
      <c r="C25" s="2">
        <v>5</v>
      </c>
      <c r="D25" s="1">
        <f t="shared" si="1"/>
        <v>44849</v>
      </c>
      <c r="E25" s="47">
        <f>IF(A25&lt;G$11,"",ROUND((VLOOKUP(YEAR(EDATE(D25,-2)),CPI!$A:$M,MONTH(EDATE(D25,-2))+1,FALSE)*(DAY(D25)-1)+VLOOKUP(YEAR(EDATE(D25,-3)),CPI!$A:$M,MONTH(EDATE(D25,-3))+1,FALSE)*(DAY(EOMONTH(D25,0))-DAY(D25)+1))/DAY(EOMONTH(D25,0)),5))</f>
        <v>296.22858000000002</v>
      </c>
      <c r="F25" s="48">
        <f>IF(A25&lt;G$11,"",VLOOKUP($A25+$B25,Quotes!$A:$AAO,$G$8,FALSE))</f>
        <v>40000</v>
      </c>
      <c r="G25" s="47">
        <f t="shared" si="2"/>
        <v>1.09423</v>
      </c>
      <c r="H25" s="50">
        <f t="shared" si="3"/>
        <v>43769.200000000004</v>
      </c>
      <c r="I25" s="47">
        <f>IF(A25&lt;G$11,"",VLOOKUP($A25+$B25,Quotes!$A:$AAO,$G$8+2,FALSE))</f>
        <v>101.12500000000001</v>
      </c>
      <c r="J25" s="50">
        <f t="shared" si="4"/>
        <v>44261.603500000012</v>
      </c>
      <c r="K25" s="49">
        <f>IF(A25&lt;G$11,"",VLOOKUP($A25+$B25,Quotes!$A:$AAO,$G$8+3,FALSE))</f>
        <v>1.031E-2</v>
      </c>
      <c r="L25" s="226">
        <f t="shared" si="5"/>
        <v>2027</v>
      </c>
      <c r="M25" s="224">
        <f t="shared" si="19"/>
        <v>456.33713208500012</v>
      </c>
      <c r="N25" s="114">
        <f t="shared" si="6"/>
        <v>0.8571428571428571</v>
      </c>
      <c r="O25" s="48">
        <f t="shared" si="7"/>
        <v>3</v>
      </c>
      <c r="P25" s="63">
        <f t="shared" si="8"/>
        <v>101.24718857892617</v>
      </c>
      <c r="Q25" s="64">
        <f t="shared" si="9"/>
        <v>101.24699672422851</v>
      </c>
      <c r="R25" s="64">
        <f t="shared" si="10"/>
        <v>97.500674531295559</v>
      </c>
      <c r="S25" s="64">
        <f t="shared" si="11"/>
        <v>1.9046844007698214</v>
      </c>
      <c r="T25" s="64">
        <f t="shared" si="12"/>
        <v>1.8949161082318859</v>
      </c>
      <c r="U25" s="64">
        <f t="shared" si="13"/>
        <v>1.9285714285714286</v>
      </c>
      <c r="V25" s="64">
        <f t="shared" si="14"/>
        <v>1.8949138277379873</v>
      </c>
      <c r="W25" s="64">
        <f t="shared" si="15"/>
        <v>1.9046821085199768</v>
      </c>
      <c r="X25" s="68">
        <f t="shared" si="16"/>
        <v>3.7003635362280241E-2</v>
      </c>
      <c r="Y25" s="91">
        <f t="shared" si="17"/>
        <v>3.9089575664414136E-2</v>
      </c>
      <c r="Z25" s="49">
        <f t="shared" si="18"/>
        <v>4.9268309234378665E-2</v>
      </c>
      <c r="AA25" s="49">
        <f t="shared" si="18"/>
        <v>3.0852720796065845E-2</v>
      </c>
      <c r="AB25" s="49">
        <f t="shared" si="18"/>
        <v>2.5185992148704605E-2</v>
      </c>
      <c r="AC25" s="90" t="str">
        <f t="shared" si="18"/>
        <v/>
      </c>
      <c r="AE25"/>
      <c r="AF25"/>
      <c r="AH25"/>
      <c r="AI25"/>
      <c r="AJ25"/>
      <c r="AK25"/>
    </row>
    <row r="26" spans="1:37" x14ac:dyDescent="0.35">
      <c r="A26" s="45">
        <v>46767</v>
      </c>
      <c r="B26" s="46">
        <v>5.0000000000000001E-3</v>
      </c>
      <c r="C26" s="2">
        <v>10</v>
      </c>
      <c r="D26" s="1">
        <f t="shared" si="1"/>
        <v>43115</v>
      </c>
      <c r="E26" s="47">
        <f>IF(A26&lt;G$11,"",ROUND((VLOOKUP(YEAR(EDATE(D26,-2)),CPI!$A:$M,MONTH(EDATE(D26,-2))+1,FALSE)*(DAY(D26)-1)+VLOOKUP(YEAR(EDATE(D26,-3)),CPI!$A:$M,MONTH(EDATE(D26,-3))+1,FALSE)*(DAY(EOMONTH(D26,0))-DAY(D26)+1))/DAY(EOMONTH(D26,0)),5))</f>
        <v>246.66570999999999</v>
      </c>
      <c r="F26" s="48">
        <f>IF(A26&lt;G$11,"",VLOOKUP($A26+$B26,Quotes!$A:$AAO,$G$8,FALSE))</f>
        <v>38821.510999999999</v>
      </c>
      <c r="G26" s="47">
        <f t="shared" si="2"/>
        <v>1.31409</v>
      </c>
      <c r="H26" s="50">
        <f t="shared" si="3"/>
        <v>51014.959389989999</v>
      </c>
      <c r="I26" s="47">
        <f>IF(A26&lt;G$11,"",VLOOKUP($A26+$B26,Quotes!$A:$AAO,$G$8+2,FALSE))</f>
        <v>98.4375</v>
      </c>
      <c r="J26" s="50">
        <f t="shared" si="4"/>
        <v>50217.85064952141</v>
      </c>
      <c r="K26" s="49">
        <f>IF(A26&lt;G$11,"",VLOOKUP($A26+$B26,Quotes!$A:$AAO,$G$8+3,FALSE))</f>
        <v>1.2319999999999999E-2</v>
      </c>
      <c r="L26" s="226">
        <f t="shared" si="5"/>
        <v>2028</v>
      </c>
      <c r="M26" s="224">
        <f t="shared" si="19"/>
        <v>618.68392000210372</v>
      </c>
      <c r="N26" s="114">
        <f t="shared" si="6"/>
        <v>0.35869565217391303</v>
      </c>
      <c r="O26" s="48">
        <f t="shared" si="7"/>
        <v>4</v>
      </c>
      <c r="P26" s="63">
        <f t="shared" si="8"/>
        <v>98.590856718362886</v>
      </c>
      <c r="Q26" s="64">
        <f t="shared" si="9"/>
        <v>98.590644402380931</v>
      </c>
      <c r="R26" s="64">
        <f t="shared" si="10"/>
        <v>94.455108921668597</v>
      </c>
      <c r="S26" s="64">
        <f t="shared" si="11"/>
        <v>2.1667742780497328</v>
      </c>
      <c r="T26" s="64">
        <f t="shared" si="12"/>
        <v>2.153508664675333</v>
      </c>
      <c r="U26" s="64">
        <f t="shared" si="13"/>
        <v>2.1793478260869565</v>
      </c>
      <c r="V26" s="64">
        <f t="shared" si="14"/>
        <v>2.1535058019050979</v>
      </c>
      <c r="W26" s="64">
        <f t="shared" si="15"/>
        <v>2.1667713976448333</v>
      </c>
      <c r="X26" s="68">
        <f t="shared" si="16"/>
        <v>4.1948593757619612E-2</v>
      </c>
      <c r="Y26" s="91">
        <f t="shared" si="17"/>
        <v>4.4349827332141621E-2</v>
      </c>
      <c r="Z26" s="49">
        <f t="shared" si="18"/>
        <v>5.589830460811171E-2</v>
      </c>
      <c r="AA26" s="49">
        <f t="shared" si="18"/>
        <v>3.5004545758678118E-2</v>
      </c>
      <c r="AB26" s="49">
        <f t="shared" si="18"/>
        <v>2.8575250152960821E-2</v>
      </c>
      <c r="AC26" s="90" t="str">
        <f t="shared" si="18"/>
        <v/>
      </c>
      <c r="AE26"/>
      <c r="AF26"/>
      <c r="AH26"/>
      <c r="AI26"/>
      <c r="AJ26"/>
      <c r="AK26"/>
    </row>
    <row r="27" spans="1:37" x14ac:dyDescent="0.35">
      <c r="A27" s="45">
        <v>46767</v>
      </c>
      <c r="B27" s="46">
        <v>1.7500000000000002E-2</v>
      </c>
      <c r="C27" s="2">
        <v>20</v>
      </c>
      <c r="D27" s="1">
        <f t="shared" si="1"/>
        <v>39462</v>
      </c>
      <c r="E27" s="47">
        <f>IF(A27&lt;G$11,"",ROUND((VLOOKUP(YEAR(EDATE(D27,-2)),CPI!$A:$M,MONTH(EDATE(D27,-2))+1,FALSE)*(DAY(D27)-1)+VLOOKUP(YEAR(EDATE(D27,-3)),CPI!$A:$M,MONTH(EDATE(D27,-3))+1,FALSE)*(DAY(EOMONTH(D27,0))-DAY(D27)+1))/DAY(EOMONTH(D27,0)),5))</f>
        <v>209.49645000000001</v>
      </c>
      <c r="F27" s="48">
        <f>IF(A27&lt;G$11,"",VLOOKUP($A27+$B27,Quotes!$A:$AAO,$G$8,FALSE))</f>
        <v>15635.246999999999</v>
      </c>
      <c r="G27" s="47">
        <f t="shared" si="2"/>
        <v>1.5472399999999999</v>
      </c>
      <c r="H27" s="50">
        <f t="shared" si="3"/>
        <v>24191.47956828</v>
      </c>
      <c r="I27" s="47">
        <f>IF(A27&lt;G$11,"",VLOOKUP($A27+$B27,Quotes!$A:$AAO,$G$8+2,FALSE))</f>
        <v>101.12500000000001</v>
      </c>
      <c r="J27" s="50">
        <f t="shared" si="4"/>
        <v>24463.633713423154</v>
      </c>
      <c r="K27" s="49">
        <f>IF(A27&lt;G$11,"",VLOOKUP($A27+$B27,Quotes!$A:$AAO,$G$8+3,FALSE))</f>
        <v>1.226E-2</v>
      </c>
      <c r="L27" s="226">
        <f t="shared" si="5"/>
        <v>2028</v>
      </c>
      <c r="M27" s="224">
        <f t="shared" si="19"/>
        <v>299.92414932656789</v>
      </c>
      <c r="N27" s="114">
        <f t="shared" si="6"/>
        <v>0.35869565217391303</v>
      </c>
      <c r="O27" s="48">
        <f t="shared" si="7"/>
        <v>4</v>
      </c>
      <c r="P27" s="63">
        <f t="shared" si="8"/>
        <v>101.68398902075042</v>
      </c>
      <c r="Q27" s="64">
        <f t="shared" si="9"/>
        <v>101.68377307888548</v>
      </c>
      <c r="R27" s="64">
        <f t="shared" si="10"/>
        <v>97.477216492994813</v>
      </c>
      <c r="S27" s="64">
        <f t="shared" si="11"/>
        <v>2.1366773518074189</v>
      </c>
      <c r="T27" s="64">
        <f t="shared" si="12"/>
        <v>2.1236593201747476</v>
      </c>
      <c r="U27" s="64">
        <f t="shared" si="13"/>
        <v>2.1793478260869565</v>
      </c>
      <c r="V27" s="64">
        <f t="shared" si="14"/>
        <v>2.1236565069804314</v>
      </c>
      <c r="W27" s="64">
        <f t="shared" si="15"/>
        <v>2.1366745213682212</v>
      </c>
      <c r="X27" s="68">
        <f t="shared" si="16"/>
        <v>4.1371041481241821E-2</v>
      </c>
      <c r="Y27" s="91">
        <f t="shared" si="17"/>
        <v>2.1605025246484048E-2</v>
      </c>
      <c r="Z27" s="49">
        <f t="shared" si="18"/>
        <v>2.7230867738207966E-2</v>
      </c>
      <c r="AA27" s="49">
        <f t="shared" si="18"/>
        <v>1.7052469882106007E-2</v>
      </c>
      <c r="AB27" s="49">
        <f t="shared" si="18"/>
        <v>1.392043753306544E-2</v>
      </c>
      <c r="AC27" s="90" t="str">
        <f t="shared" si="18"/>
        <v/>
      </c>
      <c r="AE27"/>
      <c r="AF27"/>
      <c r="AH27"/>
      <c r="AI27"/>
      <c r="AJ27"/>
      <c r="AK27"/>
    </row>
    <row r="28" spans="1:37" x14ac:dyDescent="0.35">
      <c r="A28" s="45">
        <v>46858</v>
      </c>
      <c r="B28" s="46">
        <v>1.2500000000000001E-2</v>
      </c>
      <c r="C28" s="2">
        <v>5</v>
      </c>
      <c r="D28" s="1">
        <f t="shared" si="1"/>
        <v>45031</v>
      </c>
      <c r="E28" s="47">
        <f>IF(A28&lt;G$11,"",ROUND((VLOOKUP(YEAR(EDATE(D28,-2)),CPI!$A:$M,MONTH(EDATE(D28,-2))+1,FALSE)*(DAY(D28)-1)+VLOOKUP(YEAR(EDATE(D28,-3)),CPI!$A:$M,MONTH(EDATE(D28,-3))+1,FALSE)*(DAY(EOMONTH(D28,0))-DAY(D28)+1))/DAY(EOMONTH(D28,0)),5))</f>
        <v>299.94932999999997</v>
      </c>
      <c r="F28" s="48">
        <f>IF(A28&lt;G$11,"",VLOOKUP($A28+$B28,Quotes!$A:$AAO,$G$8,FALSE))</f>
        <v>40000.173000000003</v>
      </c>
      <c r="G28" s="47">
        <f t="shared" si="2"/>
        <v>1.0806500000000001</v>
      </c>
      <c r="H28" s="50">
        <f t="shared" si="3"/>
        <v>43226.186952450007</v>
      </c>
      <c r="I28" s="47">
        <f>IF(A28&lt;G$11,"",VLOOKUP($A28+$B28,Quotes!$A:$AAO,$G$8+2,FALSE))</f>
        <v>99.937499999999986</v>
      </c>
      <c r="J28" s="50">
        <f t="shared" si="4"/>
        <v>43199.170585604719</v>
      </c>
      <c r="K28" s="49">
        <f>IF(A28&lt;G$11,"",VLOOKUP($A28+$B28,Quotes!$A:$AAO,$G$8+3,FALSE))</f>
        <v>1.278E-2</v>
      </c>
      <c r="L28" s="226">
        <f t="shared" si="5"/>
        <v>2028</v>
      </c>
      <c r="M28" s="224">
        <f t="shared" si="19"/>
        <v>552.08540008402827</v>
      </c>
      <c r="N28" s="114">
        <f t="shared" si="6"/>
        <v>0.8571428571428571</v>
      </c>
      <c r="O28" s="48">
        <f t="shared" si="7"/>
        <v>4</v>
      </c>
      <c r="P28" s="63">
        <f t="shared" si="8"/>
        <v>100.02229632924664</v>
      </c>
      <c r="Q28" s="64">
        <f t="shared" si="9"/>
        <v>100.02205802935292</v>
      </c>
      <c r="R28" s="64">
        <f t="shared" si="10"/>
        <v>95.391346039167999</v>
      </c>
      <c r="S28" s="64">
        <f t="shared" si="11"/>
        <v>2.397695177640466</v>
      </c>
      <c r="T28" s="64">
        <f t="shared" si="12"/>
        <v>2.3824711867570887</v>
      </c>
      <c r="U28" s="64">
        <f t="shared" si="13"/>
        <v>2.4285714285714284</v>
      </c>
      <c r="V28" s="64">
        <f t="shared" si="14"/>
        <v>2.3824677344297385</v>
      </c>
      <c r="W28" s="64">
        <f t="shared" si="15"/>
        <v>2.3976917032527441</v>
      </c>
      <c r="X28" s="68">
        <f t="shared" si="16"/>
        <v>4.6299179883201202E-2</v>
      </c>
      <c r="Y28" s="91">
        <f t="shared" ref="Y28:Y77" si="20">IF(AND($A28&gt;=$G$11,Y$4&lt;$A28,$A28&lt;=Y$5),$J28/1000/Y$6,"")</f>
        <v>3.8151289463472078E-2</v>
      </c>
      <c r="Z28" s="49">
        <f t="shared" si="18"/>
        <v>4.8085697913774123E-2</v>
      </c>
      <c r="AA28" s="49">
        <f t="shared" si="18"/>
        <v>3.0112147850659823E-2</v>
      </c>
      <c r="AB28" s="49">
        <f t="shared" si="18"/>
        <v>2.4581440462264115E-2</v>
      </c>
      <c r="AC28" s="90" t="str">
        <f t="shared" si="18"/>
        <v/>
      </c>
      <c r="AE28"/>
      <c r="AF28"/>
      <c r="AH28"/>
      <c r="AI28"/>
      <c r="AJ28"/>
      <c r="AK28"/>
    </row>
    <row r="29" spans="1:37" x14ac:dyDescent="0.35">
      <c r="A29" s="45">
        <v>46858</v>
      </c>
      <c r="B29" s="46">
        <v>3.6249999999999998E-2</v>
      </c>
      <c r="C29" s="2">
        <v>30</v>
      </c>
      <c r="D29" s="1">
        <f t="shared" si="1"/>
        <v>35900</v>
      </c>
      <c r="E29" s="47">
        <f>IF(A29&lt;G$11,"",ROUND((VLOOKUP(YEAR(EDATE(D29,-2)),CPI!$A:$M,MONTH(EDATE(D29,-2))+1,FALSE)*(DAY(D29)-1)+VLOOKUP(YEAR(EDATE(D29,-3)),CPI!$A:$M,MONTH(EDATE(D29,-3))+1,FALSE)*(DAY(EOMONTH(D29,0))-DAY(D29)+1))/DAY(EOMONTH(D29,0)),5))</f>
        <v>161.74</v>
      </c>
      <c r="F29" s="48">
        <f>IF(A29&lt;G$11,"",VLOOKUP($A29+$B29,Quotes!$A:$AAO,$G$8,FALSE))</f>
        <v>16806.174999999999</v>
      </c>
      <c r="G29" s="47">
        <f t="shared" si="2"/>
        <v>2.0040900000000001</v>
      </c>
      <c r="H29" s="50">
        <f t="shared" si="3"/>
        <v>33681.087255750004</v>
      </c>
      <c r="I29" s="47">
        <f>IF(A29&lt;G$11,"",VLOOKUP($A29+$B29,Quotes!$A:$AAO,$G$8+2,FALSE))</f>
        <v>105.62500000000001</v>
      </c>
      <c r="J29" s="50">
        <f t="shared" si="4"/>
        <v>35575.648413885945</v>
      </c>
      <c r="K29" s="49">
        <f>IF(A29&lt;G$11,"",VLOOKUP($A29+$B29,Quotes!$A:$AAO,$G$8+3,FALSE))</f>
        <v>1.264E-2</v>
      </c>
      <c r="L29" s="226">
        <f t="shared" si="5"/>
        <v>2028</v>
      </c>
      <c r="M29" s="224">
        <f t="shared" si="19"/>
        <v>449.67619595151837</v>
      </c>
      <c r="N29" s="114">
        <f t="shared" si="6"/>
        <v>0.8571428571428571</v>
      </c>
      <c r="O29" s="48">
        <f t="shared" si="7"/>
        <v>4</v>
      </c>
      <c r="P29" s="63">
        <f t="shared" si="8"/>
        <v>105.88747585256149</v>
      </c>
      <c r="Q29" s="64">
        <f t="shared" si="9"/>
        <v>105.88722921364024</v>
      </c>
      <c r="R29" s="64">
        <f t="shared" si="10"/>
        <v>101.09346235475508</v>
      </c>
      <c r="S29" s="64">
        <f t="shared" si="11"/>
        <v>2.3439791553733071</v>
      </c>
      <c r="T29" s="64">
        <f t="shared" si="12"/>
        <v>2.3292582432758038</v>
      </c>
      <c r="U29" s="64">
        <f t="shared" si="13"/>
        <v>2.4285714285714284</v>
      </c>
      <c r="V29" s="64">
        <f t="shared" si="14"/>
        <v>2.3292548931852508</v>
      </c>
      <c r="W29" s="64">
        <f t="shared" si="15"/>
        <v>2.343975784110182</v>
      </c>
      <c r="X29" s="68">
        <f t="shared" si="16"/>
        <v>4.5274603622449505E-2</v>
      </c>
      <c r="Y29" s="91">
        <f t="shared" si="20"/>
        <v>3.1418586099918162E-2</v>
      </c>
      <c r="Z29" s="49">
        <f t="shared" si="18"/>
        <v>3.9599831652481023E-2</v>
      </c>
      <c r="AA29" s="49">
        <f t="shared" si="18"/>
        <v>2.4798142427276171E-2</v>
      </c>
      <c r="AB29" s="49">
        <f t="shared" si="18"/>
        <v>2.0243460037257948E-2</v>
      </c>
      <c r="AC29" s="90" t="str">
        <f t="shared" si="18"/>
        <v/>
      </c>
      <c r="AE29"/>
      <c r="AF29"/>
      <c r="AH29"/>
      <c r="AI29"/>
      <c r="AJ29"/>
      <c r="AK29"/>
    </row>
    <row r="30" spans="1:37" x14ac:dyDescent="0.35">
      <c r="A30" s="45">
        <v>46949</v>
      </c>
      <c r="B30" s="46">
        <v>7.4999999999999997E-3</v>
      </c>
      <c r="C30" s="2">
        <v>10</v>
      </c>
      <c r="D30" s="1">
        <f t="shared" si="1"/>
        <v>43296</v>
      </c>
      <c r="E30" s="47">
        <f>IF(A30&lt;G$11,"",ROUND((VLOOKUP(YEAR(EDATE(D30,-2)),CPI!$A:$M,MONTH(EDATE(D30,-2))+1,FALSE)*(DAY(D30)-1)+VLOOKUP(YEAR(EDATE(D30,-3)),CPI!$A:$M,MONTH(EDATE(D30,-3))+1,FALSE)*(DAY(EOMONTH(D30,0))-DAY(D30)+1))/DAY(EOMONTH(D30,0)),5))</f>
        <v>251.01658</v>
      </c>
      <c r="F30" s="48">
        <f>IF(A30&lt;G$11,"",VLOOKUP($A30+$B30,Quotes!$A:$AAO,$G$8,FALSE))</f>
        <v>36671.908000000003</v>
      </c>
      <c r="G30" s="47">
        <f t="shared" si="2"/>
        <v>1.29131</v>
      </c>
      <c r="H30" s="50">
        <f t="shared" si="3"/>
        <v>47354.801519480003</v>
      </c>
      <c r="I30" s="47">
        <f>IF(A30&lt;G$11,"",VLOOKUP($A30+$B30,Quotes!$A:$AAO,$G$8+2,FALSE))</f>
        <v>99.125000000000014</v>
      </c>
      <c r="J30" s="50">
        <f t="shared" si="4"/>
        <v>46940.447006184564</v>
      </c>
      <c r="K30" s="49">
        <f>IF(A30&lt;G$11,"",VLOOKUP($A30+$B30,Quotes!$A:$AAO,$G$8+3,FALSE))</f>
        <v>1.0869999999999999E-2</v>
      </c>
      <c r="L30" s="226">
        <f t="shared" si="5"/>
        <v>2028</v>
      </c>
      <c r="M30" s="224">
        <f t="shared" si="19"/>
        <v>510.24265895722618</v>
      </c>
      <c r="N30" s="114">
        <f t="shared" si="6"/>
        <v>0.35869565217391303</v>
      </c>
      <c r="O30" s="48">
        <f t="shared" si="7"/>
        <v>5</v>
      </c>
      <c r="P30" s="63">
        <f t="shared" si="8"/>
        <v>99.352711988923232</v>
      </c>
      <c r="Q30" s="64">
        <f t="shared" si="9"/>
        <v>99.352449999664614</v>
      </c>
      <c r="R30" s="64">
        <f t="shared" si="10"/>
        <v>94.274201816904522</v>
      </c>
      <c r="S30" s="64">
        <f t="shared" si="11"/>
        <v>2.6512973859269713</v>
      </c>
      <c r="T30" s="64">
        <f t="shared" si="12"/>
        <v>2.6369654785510463</v>
      </c>
      <c r="U30" s="64">
        <f t="shared" si="13"/>
        <v>2.6793478260869565</v>
      </c>
      <c r="V30" s="64">
        <f t="shared" si="14"/>
        <v>2.6369613206345122</v>
      </c>
      <c r="W30" s="64">
        <f t="shared" si="15"/>
        <v>2.651293205412161</v>
      </c>
      <c r="X30" s="68">
        <f t="shared" si="16"/>
        <v>5.111596926095896E-2</v>
      </c>
      <c r="Y30" s="91">
        <f t="shared" si="20"/>
        <v>4.1455392707805377E-2</v>
      </c>
      <c r="Z30" s="49">
        <f t="shared" si="18"/>
        <v>5.2250173419511665E-2</v>
      </c>
      <c r="AA30" s="49">
        <f t="shared" si="18"/>
        <v>3.2720018955579341E-2</v>
      </c>
      <c r="AB30" s="49">
        <f t="shared" si="18"/>
        <v>2.6710323085209705E-2</v>
      </c>
      <c r="AC30" s="90" t="str">
        <f t="shared" si="18"/>
        <v/>
      </c>
      <c r="AE30"/>
      <c r="AF30"/>
      <c r="AH30"/>
      <c r="AI30"/>
      <c r="AJ30"/>
      <c r="AK30"/>
    </row>
    <row r="31" spans="1:37" x14ac:dyDescent="0.35">
      <c r="A31" s="45">
        <v>47041</v>
      </c>
      <c r="B31" s="46">
        <v>2.375E-2</v>
      </c>
      <c r="C31" s="2">
        <v>5</v>
      </c>
      <c r="D31" s="1">
        <f t="shared" si="1"/>
        <v>45214</v>
      </c>
      <c r="E31" s="47">
        <f>IF(A31&lt;G$11,"",ROUND((VLOOKUP(YEAR(EDATE(D31,-2)),CPI!$A:$M,MONTH(EDATE(D31,-2))+1,FALSE)*(DAY(D31)-1)+VLOOKUP(YEAR(EDATE(D31,-3)),CPI!$A:$M,MONTH(EDATE(D31,-3))+1,FALSE)*(DAY(EOMONTH(D31,0))-DAY(D31)+1))/DAY(EOMONTH(D31,0)),5))</f>
        <v>306.29390000000001</v>
      </c>
      <c r="F31" s="48">
        <f>IF(A31&lt;G$11,"",VLOOKUP($A31+$B31,Quotes!$A:$AAO,$G$8,FALSE))</f>
        <v>42000.059000000001</v>
      </c>
      <c r="G31" s="47">
        <f t="shared" si="2"/>
        <v>1.05827</v>
      </c>
      <c r="H31" s="50">
        <f t="shared" si="3"/>
        <v>44447.402437930003</v>
      </c>
      <c r="I31" s="47">
        <f>IF(A31&lt;G$11,"",VLOOKUP($A31+$B31,Quotes!$A:$AAO,$G$8+2,FALSE))</f>
        <v>103.53125</v>
      </c>
      <c r="J31" s="50">
        <f t="shared" si="4"/>
        <v>46016.9513365194</v>
      </c>
      <c r="K31" s="49">
        <f>IF(A31&lt;G$11,"",VLOOKUP($A31+$B31,Quotes!$A:$AAO,$G$8+3,FALSE))</f>
        <v>1.141E-2</v>
      </c>
      <c r="L31" s="226">
        <f t="shared" si="5"/>
        <v>2028</v>
      </c>
      <c r="M31" s="224">
        <f t="shared" si="19"/>
        <v>525.05341474968634</v>
      </c>
      <c r="N31" s="114">
        <f t="shared" si="6"/>
        <v>0.8571428571428571</v>
      </c>
      <c r="O31" s="48">
        <f t="shared" si="7"/>
        <v>5</v>
      </c>
      <c r="P31" s="63">
        <f t="shared" si="8"/>
        <v>103.71344262498809</v>
      </c>
      <c r="Q31" s="64">
        <f t="shared" si="9"/>
        <v>103.7131493625012</v>
      </c>
      <c r="R31" s="64">
        <f t="shared" si="10"/>
        <v>98.041216795602011</v>
      </c>
      <c r="S31" s="64">
        <f t="shared" si="11"/>
        <v>2.8437591098356658</v>
      </c>
      <c r="T31" s="64">
        <f t="shared" si="12"/>
        <v>2.8276274949768228</v>
      </c>
      <c r="U31" s="64">
        <f t="shared" si="13"/>
        <v>2.9285714285714284</v>
      </c>
      <c r="V31" s="64">
        <f t="shared" si="14"/>
        <v>2.8276227215240368</v>
      </c>
      <c r="W31" s="64">
        <f t="shared" si="15"/>
        <v>2.8437543091503317</v>
      </c>
      <c r="X31" s="68">
        <f t="shared" si="16"/>
        <v>5.4691327236103593E-2</v>
      </c>
      <c r="Y31" s="91">
        <f t="shared" si="20"/>
        <v>4.0639808747880944E-2</v>
      </c>
      <c r="Z31" s="49">
        <f t="shared" si="18"/>
        <v>5.122221540100759E-2</v>
      </c>
      <c r="AA31" s="49">
        <f t="shared" si="18"/>
        <v>3.2076292750482516E-2</v>
      </c>
      <c r="AB31" s="49">
        <f t="shared" si="18"/>
        <v>2.6184830268720361E-2</v>
      </c>
      <c r="AC31" s="90" t="str">
        <f t="shared" si="18"/>
        <v/>
      </c>
      <c r="AE31"/>
      <c r="AF31"/>
      <c r="AH31"/>
      <c r="AI31"/>
      <c r="AJ31"/>
      <c r="AK31"/>
    </row>
    <row r="32" spans="1:37" x14ac:dyDescent="0.35">
      <c r="A32" s="45">
        <v>47133</v>
      </c>
      <c r="B32" s="46">
        <v>8.7500000000000008E-3</v>
      </c>
      <c r="C32" s="2">
        <v>10</v>
      </c>
      <c r="D32" s="1">
        <f t="shared" si="1"/>
        <v>43480</v>
      </c>
      <c r="E32" s="47">
        <f>IF(A32&lt;G$11,"",ROUND((VLOOKUP(YEAR(EDATE(D32,-2)),CPI!$A:$M,MONTH(EDATE(D32,-2))+1,FALSE)*(DAY(D32)-1)+VLOOKUP(YEAR(EDATE(D32,-3)),CPI!$A:$M,MONTH(EDATE(D32,-3))+1,FALSE)*(DAY(EOMONTH(D32,0))-DAY(D32)+1))/DAY(EOMONTH(D32,0)),5))</f>
        <v>252.50247999999999</v>
      </c>
      <c r="F32" s="48">
        <f>IF(A32&lt;G$11,"",VLOOKUP($A32+$B32,Quotes!$A:$AAO,$G$8,FALSE))</f>
        <v>36155.544000000002</v>
      </c>
      <c r="G32" s="47">
        <f t="shared" si="2"/>
        <v>1.2837099999999999</v>
      </c>
      <c r="H32" s="50">
        <f t="shared" si="3"/>
        <v>46413.233388239998</v>
      </c>
      <c r="I32" s="47">
        <f>IF(A32&lt;G$11,"",VLOOKUP($A32+$B32,Quotes!$A:$AAO,$G$8+2,FALSE))</f>
        <v>98.875</v>
      </c>
      <c r="J32" s="50">
        <f t="shared" si="4"/>
        <v>45891.084512622299</v>
      </c>
      <c r="K32" s="49">
        <f>IF(A32&lt;G$11,"",VLOOKUP($A32+$B32,Quotes!$A:$AAO,$G$8+3,FALSE))</f>
        <v>1.242E-2</v>
      </c>
      <c r="L32" s="226">
        <f t="shared" si="5"/>
        <v>2029</v>
      </c>
      <c r="M32" s="224">
        <f t="shared" si="19"/>
        <v>569.96726964676895</v>
      </c>
      <c r="N32" s="114">
        <f t="shared" si="6"/>
        <v>0.35869565217391303</v>
      </c>
      <c r="O32" s="48">
        <f t="shared" si="7"/>
        <v>6</v>
      </c>
      <c r="P32" s="63">
        <f t="shared" si="8"/>
        <v>99.139644109067945</v>
      </c>
      <c r="Q32" s="64">
        <f t="shared" si="9"/>
        <v>99.139335364230405</v>
      </c>
      <c r="R32" s="64">
        <f t="shared" si="10"/>
        <v>93.183555223582545</v>
      </c>
      <c r="S32" s="64">
        <f t="shared" si="11"/>
        <v>3.1335870887346435</v>
      </c>
      <c r="T32" s="64">
        <f t="shared" si="12"/>
        <v>3.1142476110698993</v>
      </c>
      <c r="U32" s="64">
        <f t="shared" si="13"/>
        <v>3.1793478260869565</v>
      </c>
      <c r="V32" s="64">
        <f t="shared" si="14"/>
        <v>3.1142419393281884</v>
      </c>
      <c r="W32" s="64">
        <f t="shared" si="15"/>
        <v>3.1335813817714167</v>
      </c>
      <c r="X32" s="68">
        <f t="shared" si="16"/>
        <v>6.0077771501104493E-2</v>
      </c>
      <c r="Y32" s="91">
        <f t="shared" si="20"/>
        <v>4.0528649631461557E-2</v>
      </c>
      <c r="Z32" s="49">
        <f t="shared" si="18"/>
        <v>5.1082110996473057E-2</v>
      </c>
      <c r="AA32" s="49">
        <f t="shared" si="18"/>
        <v>3.1988556797238422E-2</v>
      </c>
      <c r="AB32" s="49">
        <f t="shared" si="18"/>
        <v>2.6113208804792721E-2</v>
      </c>
      <c r="AC32" s="90" t="str">
        <f t="shared" si="18"/>
        <v/>
      </c>
      <c r="AE32"/>
      <c r="AF32"/>
      <c r="AH32"/>
      <c r="AI32"/>
      <c r="AJ32"/>
      <c r="AK32"/>
    </row>
    <row r="33" spans="1:37" x14ac:dyDescent="0.35">
      <c r="A33" s="45">
        <v>47133</v>
      </c>
      <c r="B33" s="46">
        <v>2.5000000000000001E-2</v>
      </c>
      <c r="C33" s="2">
        <v>20</v>
      </c>
      <c r="D33" s="1">
        <f t="shared" si="1"/>
        <v>39828</v>
      </c>
      <c r="E33" s="47">
        <f>IF(A33&lt;G$11,"",ROUND((VLOOKUP(YEAR(EDATE(D33,-2)),CPI!$A:$M,MONTH(EDATE(D33,-2))+1,FALSE)*(DAY(D33)-1)+VLOOKUP(YEAR(EDATE(D33,-3)),CPI!$A:$M,MONTH(EDATE(D33,-3))+1,FALSE)*(DAY(EOMONTH(D33,0))-DAY(D33)+1))/DAY(EOMONTH(D33,0)),5))</f>
        <v>214.69971000000001</v>
      </c>
      <c r="F33" s="48">
        <f>IF(A33&lt;G$11,"",VLOOKUP($A33+$B33,Quotes!$A:$AAO,$G$8,FALSE))</f>
        <v>14150.305</v>
      </c>
      <c r="G33" s="47">
        <f t="shared" si="2"/>
        <v>1.5097400000000001</v>
      </c>
      <c r="H33" s="50">
        <f t="shared" si="3"/>
        <v>21363.281470700003</v>
      </c>
      <c r="I33" s="47">
        <f>IF(A33&lt;G$11,"",VLOOKUP($A33+$B33,Quotes!$A:$AAO,$G$8+2,FALSE))</f>
        <v>103.90625000000001</v>
      </c>
      <c r="J33" s="50">
        <f t="shared" si="4"/>
        <v>22197.784653149225</v>
      </c>
      <c r="K33" s="49">
        <f>IF(A33&lt;G$11,"",VLOOKUP($A33+$B33,Quotes!$A:$AAO,$G$8+3,FALSE))</f>
        <v>1.2390000000000002E-2</v>
      </c>
      <c r="L33" s="226">
        <f t="shared" si="5"/>
        <v>2029</v>
      </c>
      <c r="M33" s="224">
        <f t="shared" si="19"/>
        <v>275.03055185251895</v>
      </c>
      <c r="N33" s="114">
        <f t="shared" si="6"/>
        <v>0.35869565217391303</v>
      </c>
      <c r="O33" s="48">
        <f t="shared" si="7"/>
        <v>6</v>
      </c>
      <c r="P33" s="63">
        <f t="shared" si="8"/>
        <v>104.72007166272712</v>
      </c>
      <c r="Q33" s="64">
        <f t="shared" si="9"/>
        <v>104.71975365423407</v>
      </c>
      <c r="R33" s="64">
        <f t="shared" si="10"/>
        <v>98.583697217704753</v>
      </c>
      <c r="S33" s="64">
        <f t="shared" si="11"/>
        <v>3.0555664181624911</v>
      </c>
      <c r="T33" s="64">
        <f t="shared" si="12"/>
        <v>3.0367537288124979</v>
      </c>
      <c r="U33" s="64">
        <f t="shared" si="13"/>
        <v>3.1793478260869565</v>
      </c>
      <c r="V33" s="64">
        <f t="shared" si="14"/>
        <v>3.0367482375392996</v>
      </c>
      <c r="W33" s="64">
        <f t="shared" si="15"/>
        <v>3.0555608928708553</v>
      </c>
      <c r="X33" s="68">
        <f t="shared" si="16"/>
        <v>5.8597882407737889E-2</v>
      </c>
      <c r="Y33" s="91">
        <f t="shared" si="20"/>
        <v>1.9603943693130035E-2</v>
      </c>
      <c r="Z33" s="49">
        <f t="shared" si="18"/>
        <v>2.4708714373836468E-2</v>
      </c>
      <c r="AA33" s="49">
        <f t="shared" si="18"/>
        <v>1.5473051088056675E-2</v>
      </c>
      <c r="AB33" s="49">
        <f t="shared" si="18"/>
        <v>1.2631111071085614E-2</v>
      </c>
      <c r="AC33" s="90" t="str">
        <f t="shared" si="18"/>
        <v/>
      </c>
      <c r="AE33"/>
      <c r="AF33"/>
      <c r="AH33"/>
      <c r="AI33"/>
      <c r="AJ33"/>
      <c r="AK33"/>
    </row>
    <row r="34" spans="1:37" x14ac:dyDescent="0.35">
      <c r="A34" s="45">
        <v>47223</v>
      </c>
      <c r="B34" s="46">
        <v>2.1250000000000002E-2</v>
      </c>
      <c r="C34" s="2">
        <v>5</v>
      </c>
      <c r="D34" s="1">
        <f t="shared" si="1"/>
        <v>45397</v>
      </c>
      <c r="E34" s="47">
        <f>IF(A34&lt;G$11,"",ROUND((VLOOKUP(YEAR(EDATE(D34,-2)),CPI!$A:$M,MONTH(EDATE(D34,-2))+1,FALSE)*(DAY(D34)-1)+VLOOKUP(YEAR(EDATE(D34,-3)),CPI!$A:$M,MONTH(EDATE(D34,-3))+1,FALSE)*(DAY(EOMONTH(D34,0))-DAY(D34)+1))/DAY(EOMONTH(D34,0)),5))</f>
        <v>309.30786999999998</v>
      </c>
      <c r="F34" s="48">
        <f>IF(A34&lt;G$11,"",VLOOKUP($A34+$B34,Quotes!$A:$AAO,$G$8,FALSE))</f>
        <v>44109.654999999999</v>
      </c>
      <c r="G34" s="47">
        <f t="shared" si="2"/>
        <v>1.04796</v>
      </c>
      <c r="H34" s="50">
        <f t="shared" si="3"/>
        <v>46225.154053799997</v>
      </c>
      <c r="I34" s="47">
        <f>IF(A34&lt;G$11,"",VLOOKUP($A34+$B34,Quotes!$A:$AAO,$G$8+2,FALSE))</f>
        <v>102.71875000000001</v>
      </c>
      <c r="J34" s="50">
        <f t="shared" si="4"/>
        <v>47481.900429637695</v>
      </c>
      <c r="K34" s="49">
        <f>IF(A34&lt;G$11,"",VLOOKUP($A34+$B34,Quotes!$A:$AAO,$G$8+3,FALSE))</f>
        <v>1.315E-2</v>
      </c>
      <c r="L34" s="226">
        <f t="shared" si="5"/>
        <v>2029</v>
      </c>
      <c r="M34" s="224">
        <f t="shared" si="19"/>
        <v>624.38699064973571</v>
      </c>
      <c r="N34" s="114">
        <f t="shared" si="6"/>
        <v>0.8571428571428571</v>
      </c>
      <c r="O34" s="48">
        <f t="shared" si="7"/>
        <v>6</v>
      </c>
      <c r="P34" s="63">
        <f t="shared" si="8"/>
        <v>102.85813826262408</v>
      </c>
      <c r="Q34" s="64">
        <f t="shared" si="9"/>
        <v>102.85779881246366</v>
      </c>
      <c r="R34" s="64">
        <f t="shared" si="10"/>
        <v>96.323903597828419</v>
      </c>
      <c r="S34" s="64">
        <f t="shared" si="11"/>
        <v>3.3218830415892762</v>
      </c>
      <c r="T34" s="64">
        <f t="shared" si="12"/>
        <v>3.3001843296220112</v>
      </c>
      <c r="U34" s="64">
        <f t="shared" si="13"/>
        <v>3.4285714285714284</v>
      </c>
      <c r="V34" s="64">
        <f t="shared" si="14"/>
        <v>3.3001779553565314</v>
      </c>
      <c r="W34" s="64">
        <f t="shared" si="15"/>
        <v>3.3218766254130005</v>
      </c>
      <c r="X34" s="68">
        <f t="shared" si="16"/>
        <v>6.3526666680589039E-2</v>
      </c>
      <c r="Y34" s="91">
        <f t="shared" si="20"/>
        <v>4.1933576571271315E-2</v>
      </c>
      <c r="Z34" s="49">
        <f t="shared" ref="Z34:AC55" si="21">IF(AND($A34&gt;=$G$11,Z$4&lt;$A34,$A34&lt;=Z$5),$J34/1000/Z$6,"")</f>
        <v>5.2852874013101819E-2</v>
      </c>
      <c r="AA34" s="49">
        <f t="shared" si="21"/>
        <v>3.3097441144946553E-2</v>
      </c>
      <c r="AB34" s="49">
        <f t="shared" si="21"/>
        <v>2.7018424025836037E-2</v>
      </c>
      <c r="AC34" s="90" t="str">
        <f t="shared" si="21"/>
        <v/>
      </c>
      <c r="AE34"/>
      <c r="AF34"/>
      <c r="AH34"/>
      <c r="AI34"/>
      <c r="AJ34"/>
      <c r="AK34"/>
    </row>
    <row r="35" spans="1:37" x14ac:dyDescent="0.35">
      <c r="A35" s="45">
        <v>47223</v>
      </c>
      <c r="B35" s="46">
        <v>3.875E-2</v>
      </c>
      <c r="C35" s="2">
        <v>30</v>
      </c>
      <c r="D35" s="1">
        <f t="shared" si="1"/>
        <v>36265</v>
      </c>
      <c r="E35" s="47">
        <f>IF(A35&lt;G$11,"",ROUND((VLOOKUP(YEAR(EDATE(D35,-2)),CPI!$A:$M,MONTH(EDATE(D35,-2))+1,FALSE)*(DAY(D35)-1)+VLOOKUP(YEAR(EDATE(D35,-3)),CPI!$A:$M,MONTH(EDATE(D35,-3))+1,FALSE)*(DAY(EOMONTH(D35,0))-DAY(D35)+1))/DAY(EOMONTH(D35,0)),5))</f>
        <v>164.39332999999999</v>
      </c>
      <c r="F35" s="48">
        <f>IF(A35&lt;G$11,"",VLOOKUP($A35+$B35,Quotes!$A:$AAO,$G$8,FALSE))</f>
        <v>19718.960999999999</v>
      </c>
      <c r="G35" s="47">
        <f t="shared" si="2"/>
        <v>1.97174</v>
      </c>
      <c r="H35" s="50">
        <f t="shared" si="3"/>
        <v>38880.664162139998</v>
      </c>
      <c r="I35" s="47">
        <f>IF(A35&lt;G$11,"",VLOOKUP($A35+$B35,Quotes!$A:$AAO,$G$8+2,FALSE))</f>
        <v>108.59375</v>
      </c>
      <c r="J35" s="50">
        <f t="shared" si="4"/>
        <v>42221.971238573904</v>
      </c>
      <c r="K35" s="49">
        <f>IF(A35&lt;G$11,"",VLOOKUP($A35+$B35,Quotes!$A:$AAO,$G$8+3,FALSE))</f>
        <v>1.306E-2</v>
      </c>
      <c r="L35" s="226">
        <f t="shared" si="5"/>
        <v>2029</v>
      </c>
      <c r="M35" s="224">
        <f t="shared" si="19"/>
        <v>551.41894437577525</v>
      </c>
      <c r="N35" s="114">
        <f t="shared" si="6"/>
        <v>0.8571428571428571</v>
      </c>
      <c r="O35" s="48">
        <f t="shared" si="7"/>
        <v>6</v>
      </c>
      <c r="P35" s="63">
        <f t="shared" si="8"/>
        <v>108.86234468020915</v>
      </c>
      <c r="Q35" s="64">
        <f t="shared" si="9"/>
        <v>108.86199374341402</v>
      </c>
      <c r="R35" s="64">
        <f t="shared" si="10"/>
        <v>102.10495419348628</v>
      </c>
      <c r="S35" s="64">
        <f t="shared" si="11"/>
        <v>3.2447315949545192</v>
      </c>
      <c r="T35" s="64">
        <f t="shared" si="12"/>
        <v>3.2236809582968413</v>
      </c>
      <c r="U35" s="64">
        <f t="shared" si="13"/>
        <v>3.4285714285714284</v>
      </c>
      <c r="V35" s="64">
        <f t="shared" si="14"/>
        <v>3.2236747808944699</v>
      </c>
      <c r="W35" s="64">
        <f t="shared" si="15"/>
        <v>3.2447253772137103</v>
      </c>
      <c r="X35" s="68">
        <f t="shared" si="16"/>
        <v>6.2072799429161551E-2</v>
      </c>
      <c r="Y35" s="91">
        <f t="shared" si="20"/>
        <v>3.7288277173034449E-2</v>
      </c>
      <c r="Z35" s="49">
        <f t="shared" si="21"/>
        <v>4.6997961460368255E-2</v>
      </c>
      <c r="AA35" s="49">
        <f t="shared" si="21"/>
        <v>2.9430987290897465E-2</v>
      </c>
      <c r="AB35" s="49">
        <f t="shared" si="21"/>
        <v>2.4025388870458651E-2</v>
      </c>
      <c r="AC35" s="90" t="str">
        <f t="shared" si="21"/>
        <v/>
      </c>
      <c r="AE35"/>
      <c r="AF35"/>
      <c r="AH35"/>
      <c r="AI35"/>
      <c r="AJ35"/>
      <c r="AK35"/>
    </row>
    <row r="36" spans="1:37" x14ac:dyDescent="0.35">
      <c r="A36" s="45">
        <v>47314</v>
      </c>
      <c r="B36" s="46">
        <v>2.5000000000000001E-3</v>
      </c>
      <c r="C36" s="2">
        <v>10</v>
      </c>
      <c r="D36" s="1">
        <f t="shared" si="1"/>
        <v>43661</v>
      </c>
      <c r="E36" s="47">
        <f>IF(A36&lt;G$11,"",ROUND((VLOOKUP(YEAR(EDATE(D36,-2)),CPI!$A:$M,MONTH(EDATE(D36,-2))+1,FALSE)*(DAY(D36)-1)+VLOOKUP(YEAR(EDATE(D36,-3)),CPI!$A:$M,MONTH(EDATE(D36,-3))+1,FALSE)*(DAY(EOMONTH(D36,0))-DAY(D36)+1))/DAY(EOMONTH(D36,0)),5))</f>
        <v>255.79367999999999</v>
      </c>
      <c r="F36" s="48">
        <f>IF(A36&lt;G$11,"",VLOOKUP($A36+$B36,Quotes!$A:$AAO,$G$8,FALSE))</f>
        <v>39802.749000000003</v>
      </c>
      <c r="G36" s="47">
        <f t="shared" si="2"/>
        <v>1.2672000000000001</v>
      </c>
      <c r="H36" s="50">
        <f t="shared" si="3"/>
        <v>50438.043532800009</v>
      </c>
      <c r="I36" s="47">
        <f>IF(A36&lt;G$11,"",VLOOKUP($A36+$B36,Quotes!$A:$AAO,$G$8+2,FALSE))</f>
        <v>96.718750000000014</v>
      </c>
      <c r="J36" s="50">
        <f t="shared" si="4"/>
        <v>48783.045229380019</v>
      </c>
      <c r="K36" s="49">
        <f>IF(A36&lt;G$11,"",VLOOKUP($A36+$B36,Quotes!$A:$AAO,$G$8+3,FALSE))</f>
        <v>1.1659999999999998E-2</v>
      </c>
      <c r="L36" s="226">
        <f t="shared" si="5"/>
        <v>2029</v>
      </c>
      <c r="M36" s="224">
        <f t="shared" si="19"/>
        <v>568.81030737457093</v>
      </c>
      <c r="N36" s="114">
        <f t="shared" si="6"/>
        <v>0.35869565217391303</v>
      </c>
      <c r="O36" s="48">
        <f t="shared" si="7"/>
        <v>7</v>
      </c>
      <c r="P36" s="63">
        <f t="shared" si="8"/>
        <v>96.790444538439218</v>
      </c>
      <c r="Q36" s="64">
        <f t="shared" si="9"/>
        <v>96.790092193887872</v>
      </c>
      <c r="R36" s="64">
        <f t="shared" si="10"/>
        <v>90.027112227094307</v>
      </c>
      <c r="S36" s="64">
        <f t="shared" si="11"/>
        <v>3.6615128386551943</v>
      </c>
      <c r="T36" s="64">
        <f t="shared" si="12"/>
        <v>3.6402899482568567</v>
      </c>
      <c r="U36" s="64">
        <f t="shared" si="13"/>
        <v>3.6793478260869565</v>
      </c>
      <c r="V36" s="64">
        <f t="shared" si="14"/>
        <v>3.6402823958558983</v>
      </c>
      <c r="W36" s="64">
        <f t="shared" si="15"/>
        <v>3.6615052422237384</v>
      </c>
      <c r="X36" s="68">
        <f t="shared" si="16"/>
        <v>6.9876033151794581E-2</v>
      </c>
      <c r="Y36" s="91">
        <f t="shared" si="20"/>
        <v>4.3082680853042003E-2</v>
      </c>
      <c r="Z36" s="49">
        <f t="shared" si="21"/>
        <v>5.4301199407648548E-2</v>
      </c>
      <c r="AA36" s="49">
        <f t="shared" si="21"/>
        <v>3.4004409127290504E-2</v>
      </c>
      <c r="AB36" s="49">
        <f t="shared" si="21"/>
        <v>2.775880892198283E-2</v>
      </c>
      <c r="AC36" s="90" t="str">
        <f t="shared" si="21"/>
        <v/>
      </c>
      <c r="AE36"/>
      <c r="AF36"/>
      <c r="AH36"/>
      <c r="AI36"/>
      <c r="AJ36"/>
      <c r="AK36"/>
    </row>
    <row r="37" spans="1:37" x14ac:dyDescent="0.35">
      <c r="A37" s="45">
        <v>47406</v>
      </c>
      <c r="B37" s="46">
        <v>1.6250000000000001E-2</v>
      </c>
      <c r="C37" s="2">
        <v>5</v>
      </c>
      <c r="D37" s="1">
        <f t="shared" si="1"/>
        <v>45580</v>
      </c>
      <c r="E37" s="47">
        <f>IF(A37&lt;G$11,"",ROUND((VLOOKUP(YEAR(EDATE(D37,-2)),CPI!$A:$M,MONTH(EDATE(D37,-2))+1,FALSE)*(DAY(D37)-1)+VLOOKUP(YEAR(EDATE(D37,-3)),CPI!$A:$M,MONTH(EDATE(D37,-3))+1,FALSE)*(DAY(EOMONTH(D37,0))-DAY(D37)+1))/DAY(EOMONTH(D37,0)),5))</f>
        <v>314.65561000000002</v>
      </c>
      <c r="F37" s="48">
        <f>IF(A37&lt;G$11,"",VLOOKUP($A37+$B37,Quotes!$A:$AAO,$G$8,FALSE))</f>
        <v>46621.252999999997</v>
      </c>
      <c r="G37" s="47">
        <f t="shared" si="2"/>
        <v>1.0301400000000001</v>
      </c>
      <c r="H37" s="50">
        <f t="shared" si="3"/>
        <v>48026.417565420001</v>
      </c>
      <c r="I37" s="47">
        <f>IF(A37&lt;G$11,"",VLOOKUP($A37+$B37,Quotes!$A:$AAO,$G$8+2,FALSE))</f>
        <v>101.56250000000003</v>
      </c>
      <c r="J37" s="50">
        <f t="shared" si="4"/>
        <v>48776.8303398797</v>
      </c>
      <c r="K37" s="49">
        <f>IF(A37&lt;G$11,"",VLOOKUP($A37+$B37,Quotes!$A:$AAO,$G$8+3,FALSE))</f>
        <v>1.214E-2</v>
      </c>
      <c r="L37" s="226">
        <f t="shared" si="5"/>
        <v>2029</v>
      </c>
      <c r="M37" s="224">
        <f t="shared" si="19"/>
        <v>592.15072032613955</v>
      </c>
      <c r="N37" s="114">
        <f t="shared" si="6"/>
        <v>0.8571428571428571</v>
      </c>
      <c r="O37" s="48">
        <f t="shared" si="7"/>
        <v>7</v>
      </c>
      <c r="P37" s="63">
        <f t="shared" si="8"/>
        <v>101.68786115748496</v>
      </c>
      <c r="Q37" s="64">
        <f t="shared" si="9"/>
        <v>101.68747519373055</v>
      </c>
      <c r="R37" s="64">
        <f t="shared" si="10"/>
        <v>94.29456866625668</v>
      </c>
      <c r="S37" s="64">
        <f t="shared" si="11"/>
        <v>3.8186209910589235</v>
      </c>
      <c r="T37" s="64">
        <f t="shared" si="12"/>
        <v>3.7955818094754079</v>
      </c>
      <c r="U37" s="64">
        <f t="shared" si="13"/>
        <v>3.9285714285714284</v>
      </c>
      <c r="V37" s="64">
        <f t="shared" si="14"/>
        <v>3.7955735326944406</v>
      </c>
      <c r="W37" s="64">
        <f t="shared" si="15"/>
        <v>3.8186126640378961</v>
      </c>
      <c r="X37" s="68">
        <f t="shared" si="16"/>
        <v>7.2705752752319386E-2</v>
      </c>
      <c r="Y37" s="91">
        <f t="shared" si="20"/>
        <v>4.3077192181729659E-2</v>
      </c>
      <c r="Z37" s="49">
        <f t="shared" si="21"/>
        <v>5.4294281513276303E-2</v>
      </c>
      <c r="AA37" s="49">
        <f t="shared" si="21"/>
        <v>3.4000077014683425E-2</v>
      </c>
      <c r="AB37" s="49">
        <f t="shared" si="21"/>
        <v>2.7755272489820806E-2</v>
      </c>
      <c r="AC37" s="90" t="str">
        <f t="shared" si="21"/>
        <v/>
      </c>
      <c r="AE37"/>
      <c r="AF37"/>
      <c r="AH37"/>
      <c r="AI37"/>
      <c r="AJ37"/>
      <c r="AK37"/>
    </row>
    <row r="38" spans="1:37" x14ac:dyDescent="0.35">
      <c r="A38" s="45">
        <v>47498</v>
      </c>
      <c r="B38" s="46">
        <v>1.25E-3</v>
      </c>
      <c r="C38" s="2">
        <v>10</v>
      </c>
      <c r="D38" s="1">
        <f t="shared" si="1"/>
        <v>43845</v>
      </c>
      <c r="E38" s="47">
        <f>IF(A38&lt;G$11,"",ROUND((VLOOKUP(YEAR(EDATE(D38,-2)),CPI!$A:$M,MONTH(EDATE(D38,-2))+1,FALSE)*(DAY(D38)-1)+VLOOKUP(YEAR(EDATE(D38,-3)),CPI!$A:$M,MONTH(EDATE(D38,-3))+1,FALSE)*(DAY(EOMONTH(D38,0))-DAY(D38)+1))/DAY(EOMONTH(D38,0)),5))</f>
        <v>257.28368</v>
      </c>
      <c r="F38" s="48">
        <f>IF(A38&lt;G$11,"",VLOOKUP($A38+$B38,Quotes!$A:$AAO,$G$8,FALSE))</f>
        <v>41059.044000000002</v>
      </c>
      <c r="G38" s="47">
        <f t="shared" si="2"/>
        <v>1.25986</v>
      </c>
      <c r="H38" s="50">
        <f t="shared" si="3"/>
        <v>51728.64717384</v>
      </c>
      <c r="I38" s="47">
        <f>IF(A38&lt;G$11,"",VLOOKUP($A38+$B38,Quotes!$A:$AAO,$G$8+2,FALSE))</f>
        <v>95.25</v>
      </c>
      <c r="J38" s="50">
        <f t="shared" si="4"/>
        <v>49271.536433082598</v>
      </c>
      <c r="K38" s="49">
        <f>IF(A38&lt;G$11,"",VLOOKUP($A38+$B38,Quotes!$A:$AAO,$G$8+3,FALSE))</f>
        <v>1.2969999999999999E-2</v>
      </c>
      <c r="L38" s="226">
        <f t="shared" si="5"/>
        <v>2030</v>
      </c>
      <c r="M38" s="224">
        <f t="shared" si="19"/>
        <v>639.05182753708129</v>
      </c>
      <c r="N38" s="114">
        <f t="shared" si="6"/>
        <v>0.35869565217391303</v>
      </c>
      <c r="O38" s="48">
        <f t="shared" si="7"/>
        <v>8</v>
      </c>
      <c r="P38" s="63">
        <f t="shared" si="8"/>
        <v>95.287209932833917</v>
      </c>
      <c r="Q38" s="64">
        <f t="shared" si="9"/>
        <v>95.286815359850934</v>
      </c>
      <c r="R38" s="64">
        <f t="shared" si="10"/>
        <v>87.75010554871649</v>
      </c>
      <c r="S38" s="64">
        <f t="shared" si="11"/>
        <v>4.1677441456754476</v>
      </c>
      <c r="T38" s="64">
        <f t="shared" si="12"/>
        <v>4.1408904709711987</v>
      </c>
      <c r="U38" s="64">
        <f t="shared" si="13"/>
        <v>4.1793478260869561</v>
      </c>
      <c r="V38" s="64">
        <f t="shared" si="14"/>
        <v>4.1408808513221373</v>
      </c>
      <c r="W38" s="64">
        <f t="shared" si="15"/>
        <v>4.1677344636429616</v>
      </c>
      <c r="X38" s="68">
        <f t="shared" si="16"/>
        <v>7.9098804440073112E-2</v>
      </c>
      <c r="Y38" s="91">
        <f t="shared" si="20"/>
        <v>4.3514091203291347E-2</v>
      </c>
      <c r="Z38" s="49">
        <f t="shared" si="21"/>
        <v>5.4844946894842324E-2</v>
      </c>
      <c r="AA38" s="49">
        <f t="shared" si="21"/>
        <v>3.434491379787185E-2</v>
      </c>
      <c r="AB38" s="49">
        <f t="shared" si="21"/>
        <v>2.8036772995768913E-2</v>
      </c>
      <c r="AC38" s="90" t="str">
        <f t="shared" si="21"/>
        <v/>
      </c>
      <c r="AE38"/>
      <c r="AF38"/>
      <c r="AH38"/>
      <c r="AI38"/>
      <c r="AJ38"/>
      <c r="AK38"/>
    </row>
    <row r="39" spans="1:37" x14ac:dyDescent="0.35">
      <c r="A39" s="45">
        <v>47588</v>
      </c>
      <c r="B39" s="46">
        <v>1.6250000000000001E-2</v>
      </c>
      <c r="C39" s="2">
        <v>5</v>
      </c>
      <c r="D39" s="1">
        <f t="shared" si="1"/>
        <v>45762</v>
      </c>
      <c r="E39" s="47">
        <f>IF(A39&lt;G$11,"",ROUND((VLOOKUP(YEAR(EDATE(D39,-2)),CPI!$A:$M,MONTH(EDATE(D39,-2))+1,FALSE)*(DAY(D39)-1)+VLOOKUP(YEAR(EDATE(D39,-3)),CPI!$A:$M,MONTH(EDATE(D39,-3))+1,FALSE)*(DAY(EOMONTH(D39,0))-DAY(D39)+1))/DAY(EOMONTH(D39,0)),5))</f>
        <v>318.32947000000001</v>
      </c>
      <c r="F39" s="48">
        <f>IF(A39&lt;G$11,"",VLOOKUP($A39+$B39,Quotes!$A:$AAO,$G$8,FALSE))</f>
        <v>52000.883000000002</v>
      </c>
      <c r="G39" s="47">
        <f t="shared" ref="G39" si="22">IF(A39&lt;G$11,"",ROUND(G$12/E39,5))</f>
        <v>1.0182599999999999</v>
      </c>
      <c r="H39" s="50">
        <f t="shared" ref="H39" si="23">IF(A39&lt;G$11,"",F39*G39)</f>
        <v>52950.419123579995</v>
      </c>
      <c r="I39" s="47">
        <f>IF(A39&lt;G$11,"",VLOOKUP($A39+$B39,Quotes!$A:$AAO,$G$8+2,FALSE))</f>
        <v>101.15624999999999</v>
      </c>
      <c r="J39" s="50">
        <f t="shared" si="4"/>
        <v>53562.658344696378</v>
      </c>
      <c r="K39" s="49">
        <f>IF(A39&lt;G$11,"",VLOOKUP($A39+$B39,Quotes!$A:$AAO,$G$8+3,FALSE))</f>
        <v>1.3560000000000001E-2</v>
      </c>
      <c r="L39" s="226">
        <f t="shared" si="5"/>
        <v>2030</v>
      </c>
      <c r="M39" s="224">
        <f t="shared" si="19"/>
        <v>726.30964715408288</v>
      </c>
      <c r="N39" s="114">
        <f t="shared" si="6"/>
        <v>0.8571428571428571</v>
      </c>
      <c r="O39" s="48">
        <f t="shared" si="7"/>
        <v>8</v>
      </c>
      <c r="P39" s="63">
        <f t="shared" si="8"/>
        <v>101.26817109051338</v>
      </c>
      <c r="Q39" s="64">
        <f t="shared" si="9"/>
        <v>101.26773985635313</v>
      </c>
      <c r="R39" s="64">
        <f t="shared" si="10"/>
        <v>93.046701013174271</v>
      </c>
      <c r="S39" s="64">
        <f t="shared" si="11"/>
        <v>4.2872205018835192</v>
      </c>
      <c r="T39" s="64">
        <f t="shared" si="12"/>
        <v>4.2583488963661562</v>
      </c>
      <c r="U39" s="64">
        <f t="shared" si="13"/>
        <v>4.4285714285714288</v>
      </c>
      <c r="V39" s="64">
        <f t="shared" si="14"/>
        <v>4.2583385836403309</v>
      </c>
      <c r="W39" s="64">
        <f t="shared" si="15"/>
        <v>4.2872101192374128</v>
      </c>
      <c r="X39" s="68">
        <f t="shared" si="16"/>
        <v>8.1185134369522349E-2</v>
      </c>
      <c r="Y39" s="91">
        <f t="shared" si="20"/>
        <v>4.7303789754299615E-2</v>
      </c>
      <c r="Z39" s="49">
        <f t="shared" si="21"/>
        <v>5.962146434079988E-2</v>
      </c>
      <c r="AA39" s="49">
        <f t="shared" si="21"/>
        <v>3.7336056815112525E-2</v>
      </c>
      <c r="AB39" s="49">
        <f t="shared" si="21"/>
        <v>3.0478531861894018E-2</v>
      </c>
      <c r="AC39" s="90" t="str">
        <f t="shared" si="21"/>
        <v/>
      </c>
      <c r="AE39"/>
      <c r="AF39"/>
      <c r="AH39"/>
      <c r="AI39"/>
      <c r="AJ39"/>
      <c r="AK39"/>
    </row>
    <row r="40" spans="1:37" x14ac:dyDescent="0.35">
      <c r="A40" s="45">
        <v>47679</v>
      </c>
      <c r="B40" s="46">
        <v>1.25E-3</v>
      </c>
      <c r="C40" s="2">
        <v>10</v>
      </c>
      <c r="D40" s="1">
        <f t="shared" si="1"/>
        <v>44027</v>
      </c>
      <c r="E40" s="47">
        <f>IF(A40&lt;G$11,"",ROUND((VLOOKUP(YEAR(EDATE(D40,-2)),CPI!$A:$M,MONTH(EDATE(D40,-2))+1,FALSE)*(DAY(D40)-1)+VLOOKUP(YEAR(EDATE(D40,-3)),CPI!$A:$M,MONTH(EDATE(D40,-3))+1,FALSE)*(DAY(EOMONTH(D40,0))-DAY(D40)+1))/DAY(EOMONTH(D40,0)),5))</f>
        <v>256.39125999999999</v>
      </c>
      <c r="F40" s="48">
        <f>IF(A40&lt;G$11,"",VLOOKUP($A40+$B40,Quotes!$A:$AAO,$G$8,FALSE))</f>
        <v>42898.589</v>
      </c>
      <c r="G40" s="47">
        <f t="shared" si="2"/>
        <v>1.26424</v>
      </c>
      <c r="H40" s="50">
        <f t="shared" si="3"/>
        <v>54234.112157360003</v>
      </c>
      <c r="I40" s="47">
        <f>IF(A40&lt;G$11,"",VLOOKUP($A40+$B40,Quotes!$A:$AAO,$G$8+2,FALSE))</f>
        <v>94.875</v>
      </c>
      <c r="J40" s="50">
        <f t="shared" si="4"/>
        <v>51454.613909295302</v>
      </c>
      <c r="K40" s="49">
        <f>IF(A40&lt;G$11,"",VLOOKUP($A40+$B40,Quotes!$A:$AAO,$G$8+3,FALSE))</f>
        <v>1.2549999999999999E-2</v>
      </c>
      <c r="L40" s="226">
        <f t="shared" si="5"/>
        <v>2030</v>
      </c>
      <c r="M40" s="224">
        <f t="shared" si="19"/>
        <v>645.75540456165595</v>
      </c>
      <c r="N40" s="114">
        <f t="shared" si="6"/>
        <v>0.35869565217391303</v>
      </c>
      <c r="O40" s="48">
        <f t="shared" si="7"/>
        <v>9</v>
      </c>
      <c r="P40" s="63">
        <f t="shared" si="8"/>
        <v>94.920219608723684</v>
      </c>
      <c r="Q40" s="64">
        <f t="shared" si="9"/>
        <v>94.919779586298404</v>
      </c>
      <c r="R40" s="64">
        <f t="shared" si="10"/>
        <v>86.555793482751056</v>
      </c>
      <c r="S40" s="64">
        <f t="shared" si="11"/>
        <v>4.6648091024643543</v>
      </c>
      <c r="T40" s="64">
        <f t="shared" si="12"/>
        <v>4.6357199597171288</v>
      </c>
      <c r="U40" s="64">
        <f t="shared" si="13"/>
        <v>4.6793478260869561</v>
      </c>
      <c r="V40" s="64">
        <f t="shared" si="14"/>
        <v>4.635708040878761</v>
      </c>
      <c r="W40" s="64">
        <f t="shared" si="15"/>
        <v>4.6647971088352751</v>
      </c>
      <c r="X40" s="68">
        <f t="shared" si="16"/>
        <v>8.8120593909834288E-2</v>
      </c>
      <c r="Y40" s="91">
        <f t="shared" si="20"/>
        <v>4.5442073143387461E-2</v>
      </c>
      <c r="Z40" s="49">
        <f t="shared" si="21"/>
        <v>5.7274965865588716E-2</v>
      </c>
      <c r="AA40" s="49">
        <f t="shared" si="21"/>
        <v>3.5866636341199291E-2</v>
      </c>
      <c r="AB40" s="49">
        <f t="shared" si="21"/>
        <v>2.9279000295010502E-2</v>
      </c>
      <c r="AC40" s="90" t="str">
        <f t="shared" si="21"/>
        <v/>
      </c>
      <c r="AE40"/>
      <c r="AF40"/>
      <c r="AH40"/>
      <c r="AI40"/>
      <c r="AJ40"/>
      <c r="AK40"/>
    </row>
    <row r="41" spans="1:37" x14ac:dyDescent="0.35">
      <c r="A41" s="45">
        <v>47771</v>
      </c>
      <c r="B41" s="46">
        <v>1.125E-2</v>
      </c>
      <c r="C41" s="2">
        <v>5</v>
      </c>
      <c r="D41" s="1">
        <f t="shared" ref="D41" si="24">IF(A41&lt;G$11,"",EDATE(A41,-12*C41))</f>
        <v>45945</v>
      </c>
      <c r="E41" s="47">
        <f>IF(A41&lt;G$11,"",ROUND((VLOOKUP(YEAR(EDATE(D41,-2)),CPI!$A:$M,MONTH(EDATE(D41,-2))+1,FALSE)*(DAY(D41)-1)+VLOOKUP(YEAR(EDATE(D41,-3)),CPI!$A:$M,MONTH(EDATE(D41,-3))+1,FALSE)*(DAY(EOMONTH(D41,0))-DAY(D41)+1))/DAY(EOMONTH(D41,0)),5))</f>
        <v>323.46710000000002</v>
      </c>
      <c r="F41" s="48">
        <f>IF(A41&lt;G$11,"",VLOOKUP($A41+$B41,Quotes!$A:$AAO,$G$8,FALSE))</f>
        <v>27492.981</v>
      </c>
      <c r="G41" s="47">
        <f t="shared" ref="G41" si="25">IF(A41&lt;G$11,"",ROUND(G$12/E41,5))</f>
        <v>1.0020800000000001</v>
      </c>
      <c r="H41" s="50">
        <f t="shared" ref="H41" si="26">IF(A41&lt;G$11,"",F41*G41)</f>
        <v>27550.16640048</v>
      </c>
      <c r="I41" s="47">
        <f>IF(A41&lt;G$11,"",VLOOKUP($A41+$B41,Quotes!$A:$AAO,$G$8+2,FALSE))</f>
        <v>99.125000000000014</v>
      </c>
      <c r="J41" s="50">
        <f t="shared" ref="J41" si="27">IF(A41&lt;G$11,"",H41*I41/100)</f>
        <v>27309.102444475804</v>
      </c>
      <c r="K41" s="49">
        <f>IF(A41&lt;G$11,"",VLOOKUP($A41+$B41,Quotes!$A:$AAO,$G$8+3,FALSE))</f>
        <v>1.311E-2</v>
      </c>
      <c r="L41" s="226">
        <f t="shared" ref="L41" si="28">IF(A41&lt;G$11,"",YEAR(A41))</f>
        <v>2030</v>
      </c>
      <c r="M41" s="224">
        <f t="shared" ref="M41" si="29">IF(A41&lt;G$11,"",J41*K41)</f>
        <v>358.02233304707778</v>
      </c>
      <c r="N41" s="114">
        <f t="shared" ref="N41" si="30">IF(A41&lt;G$11,"",COUPDAYSNC(G$10,A41,2,1)/COUPDAYS(G$10,A41,2,1))</f>
        <v>0.8571428571428571</v>
      </c>
      <c r="O41" s="48">
        <f t="shared" ref="O41" si="31">IF(A41&lt;G$11,"",COUPNUM(G$10,A41,2,1)-1)</f>
        <v>9</v>
      </c>
      <c r="P41" s="63">
        <f t="shared" ref="P41" si="32">IF(A41&lt;G$11,"",100*(-PV(K41/2,O41,B41/2,1,0)+B41/2)/(1+K41/2)^N41)</f>
        <v>99.195211003649632</v>
      </c>
      <c r="Q41" s="64">
        <f t="shared" ref="Q41" si="33">IF(A41&lt;G$11,"",100*(-PV(($K41+Q$15)/2,$O41,$B41/2,1,0)+$B41/2)/(1+($K41+Q$15)/2)^$N41)</f>
        <v>99.194737586966014</v>
      </c>
      <c r="R41" s="64">
        <f t="shared" ref="R41" si="34">IF(A41&lt;G$11,"",100*(-PV(($K41+R$15)/2,$O41,$B41/2,1,0)+$B41/2)/(1+($K41+R$15)/2)^$N41)</f>
        <v>90.214050856941796</v>
      </c>
      <c r="S41" s="64">
        <f t="shared" ref="S41" si="35">IF(A41&lt;G$11,"",DURATION($G$10,$A41,$B41,$K41,2,1))</f>
        <v>4.8038730848088287</v>
      </c>
      <c r="T41" s="64">
        <f t="shared" ref="T41" si="36">IF(A41&lt;G$11,"",MDURATION($G$10,$A41,$B41,$K41,2,1))</f>
        <v>4.7725887654512951</v>
      </c>
      <c r="U41" s="64">
        <f t="shared" ref="U41" si="37">IF(A41&lt;G$11,"",(O41+N41)/2)</f>
        <v>4.9285714285714288</v>
      </c>
      <c r="V41" s="64">
        <f t="shared" ref="V41" si="38">IF(A41&lt;G$11,"",-(Q41/P41-1)/Q$15)</f>
        <v>4.7725760027317321</v>
      </c>
      <c r="W41" s="64">
        <f t="shared" ref="W41" si="39">IF(A41&lt;G$11,"",V41*(1+K41/2))</f>
        <v>4.8038602384296389</v>
      </c>
      <c r="X41" s="68">
        <f t="shared" ref="X41" si="40">IF(A41&lt;G$11,"",-(R41/P41-1))</f>
        <v>9.0540259512905341E-2</v>
      </c>
      <c r="Y41" s="91">
        <f t="shared" si="20"/>
        <v>2.4117997133352245E-2</v>
      </c>
      <c r="Z41" s="49">
        <f t="shared" si="21"/>
        <v>3.0398205165516876E-2</v>
      </c>
      <c r="AA41" s="49">
        <f t="shared" si="21"/>
        <v>1.9035914794875677E-2</v>
      </c>
      <c r="AB41" s="49">
        <f t="shared" si="21"/>
        <v>1.5539582513198763E-2</v>
      </c>
      <c r="AC41" s="90" t="str">
        <f t="shared" si="21"/>
        <v/>
      </c>
      <c r="AE41"/>
      <c r="AF41"/>
      <c r="AH41"/>
      <c r="AI41"/>
      <c r="AJ41"/>
      <c r="AK41"/>
    </row>
    <row r="42" spans="1:37" x14ac:dyDescent="0.35">
      <c r="A42" s="45">
        <v>47863</v>
      </c>
      <c r="B42" s="46">
        <v>1.25E-3</v>
      </c>
      <c r="C42" s="2">
        <v>10</v>
      </c>
      <c r="D42" s="1">
        <f t="shared" si="1"/>
        <v>44211</v>
      </c>
      <c r="E42" s="47">
        <f>IF(A42&lt;G$11,"",ROUND((VLOOKUP(YEAR(EDATE(D42,-2)),CPI!$A:$M,MONTH(EDATE(D42,-2))+1,FALSE)*(DAY(D42)-1)+VLOOKUP(YEAR(EDATE(D42,-3)),CPI!$A:$M,MONTH(EDATE(D42,-3))+1,FALSE)*(DAY(EOMONTH(D42,0))-DAY(D42)+1))/DAY(EOMONTH(D42,0)),5))</f>
        <v>260.31619000000001</v>
      </c>
      <c r="F42" s="48">
        <f>IF(A42&lt;G$11,"",VLOOKUP($A42+$B42,Quotes!$A:$AAO,$G$8,FALSE))</f>
        <v>43334.498</v>
      </c>
      <c r="G42" s="47">
        <f t="shared" si="2"/>
        <v>1.24518</v>
      </c>
      <c r="H42" s="50">
        <f t="shared" si="3"/>
        <v>53959.250219639995</v>
      </c>
      <c r="I42" s="47">
        <f>IF(A42&lt;G$11,"",VLOOKUP($A42+$B42,Quotes!$A:$AAO,$G$8+2,FALSE))</f>
        <v>93.749999999999986</v>
      </c>
      <c r="J42" s="50">
        <f t="shared" si="4"/>
        <v>50586.797080912489</v>
      </c>
      <c r="K42" s="49">
        <f>IF(A42&lt;G$11,"",VLOOKUP($A42+$B42,Quotes!$A:$AAO,$G$8+3,FALSE))</f>
        <v>1.38E-2</v>
      </c>
      <c r="L42" s="226">
        <f t="shared" si="5"/>
        <v>2031</v>
      </c>
      <c r="M42" s="224">
        <f t="shared" si="19"/>
        <v>698.09779971659236</v>
      </c>
      <c r="N42" s="114">
        <f t="shared" si="6"/>
        <v>0.35869565217391303</v>
      </c>
      <c r="O42" s="48">
        <f t="shared" si="7"/>
        <v>10</v>
      </c>
      <c r="P42" s="63">
        <f t="shared" si="8"/>
        <v>93.787595625839515</v>
      </c>
      <c r="Q42" s="64">
        <f t="shared" si="9"/>
        <v>93.787114865616459</v>
      </c>
      <c r="R42" s="64">
        <f t="shared" si="10"/>
        <v>84.692713548569259</v>
      </c>
      <c r="S42" s="64">
        <f t="shared" si="11"/>
        <v>5.1614377056936158</v>
      </c>
      <c r="T42" s="64">
        <f t="shared" si="12"/>
        <v>5.1260678376140794</v>
      </c>
      <c r="U42" s="64">
        <f t="shared" si="13"/>
        <v>5.1793478260869561</v>
      </c>
      <c r="V42" s="64">
        <f t="shared" si="14"/>
        <v>5.1260533959762711</v>
      </c>
      <c r="W42" s="64">
        <f t="shared" si="15"/>
        <v>5.1614231644085065</v>
      </c>
      <c r="X42" s="68">
        <f t="shared" si="16"/>
        <v>9.697318730244231E-2</v>
      </c>
      <c r="Y42" s="91" t="str">
        <f t="shared" si="20"/>
        <v/>
      </c>
      <c r="Z42" s="49" t="str">
        <f t="shared" si="21"/>
        <v/>
      </c>
      <c r="AA42" s="49">
        <f t="shared" si="21"/>
        <v>3.526172128636576E-2</v>
      </c>
      <c r="AB42" s="49">
        <f t="shared" si="21"/>
        <v>2.8785190172967288E-2</v>
      </c>
      <c r="AC42" s="90" t="str">
        <f t="shared" si="21"/>
        <v/>
      </c>
      <c r="AE42"/>
      <c r="AF42"/>
      <c r="AH42"/>
      <c r="AI42"/>
      <c r="AJ42"/>
      <c r="AK42"/>
    </row>
    <row r="43" spans="1:37" x14ac:dyDescent="0.35">
      <c r="A43" s="45">
        <v>48044</v>
      </c>
      <c r="B43" s="46">
        <v>1.25E-3</v>
      </c>
      <c r="C43" s="2">
        <v>10</v>
      </c>
      <c r="D43" s="1">
        <f t="shared" si="1"/>
        <v>44392</v>
      </c>
      <c r="E43" s="47">
        <f>IF(A43&lt;G$11,"",ROUND((VLOOKUP(YEAR(EDATE(D43,-2)),CPI!$A:$M,MONTH(EDATE(D43,-2))+1,FALSE)*(DAY(D43)-1)+VLOOKUP(YEAR(EDATE(D43,-3)),CPI!$A:$M,MONTH(EDATE(D43,-3))+1,FALSE)*(DAY(EOMONTH(D43,0))-DAY(D43)+1))/DAY(EOMONTH(D43,0)),5))</f>
        <v>268.02089999999998</v>
      </c>
      <c r="F43" s="48">
        <f>IF(A43&lt;G$11,"",VLOOKUP($A43+$B43,Quotes!$A:$AAO,$G$8,FALSE))</f>
        <v>46840.116000000002</v>
      </c>
      <c r="G43" s="47">
        <f t="shared" si="2"/>
        <v>1.20939</v>
      </c>
      <c r="H43" s="50">
        <f t="shared" si="3"/>
        <v>56647.967889239997</v>
      </c>
      <c r="I43" s="47">
        <f>IF(A43&lt;G$11,"",VLOOKUP($A43+$B43,Quotes!$A:$AAO,$G$8+2,FALSE))</f>
        <v>93.1875</v>
      </c>
      <c r="J43" s="50">
        <f t="shared" si="4"/>
        <v>52788.825076785528</v>
      </c>
      <c r="K43" s="49">
        <f>IF(A43&lt;G$11,"",VLOOKUP($A43+$B43,Quotes!$A:$AAO,$G$8+3,FALSE))</f>
        <v>1.3779999999999999E-2</v>
      </c>
      <c r="L43" s="226">
        <f t="shared" si="5"/>
        <v>2031</v>
      </c>
      <c r="M43" s="224">
        <f t="shared" si="19"/>
        <v>727.43000955810453</v>
      </c>
      <c r="N43" s="114">
        <f t="shared" si="6"/>
        <v>0.35869565217391303</v>
      </c>
      <c r="O43" s="48">
        <f t="shared" si="7"/>
        <v>11</v>
      </c>
      <c r="P43" s="63">
        <f t="shared" si="8"/>
        <v>93.217717149532518</v>
      </c>
      <c r="Q43" s="64">
        <f t="shared" si="9"/>
        <v>93.21719335546328</v>
      </c>
      <c r="R43" s="64">
        <f t="shared" si="10"/>
        <v>83.356591420257502</v>
      </c>
      <c r="S43" s="64">
        <f t="shared" si="11"/>
        <v>5.6577723970363278</v>
      </c>
      <c r="T43" s="64">
        <f t="shared" si="12"/>
        <v>5.6190570936610031</v>
      </c>
      <c r="U43" s="64">
        <f t="shared" si="13"/>
        <v>5.6793478260869561</v>
      </c>
      <c r="V43" s="64">
        <f t="shared" si="14"/>
        <v>5.6190398698419131</v>
      </c>
      <c r="W43" s="64">
        <f t="shared" si="15"/>
        <v>5.6577550545451238</v>
      </c>
      <c r="X43" s="68">
        <f t="shared" si="16"/>
        <v>0.10578596033902632</v>
      </c>
      <c r="Y43" s="91" t="str">
        <f t="shared" si="20"/>
        <v/>
      </c>
      <c r="Z43" s="49" t="str">
        <f t="shared" si="21"/>
        <v/>
      </c>
      <c r="AA43" s="49">
        <f t="shared" si="21"/>
        <v>3.6796653362240313E-2</v>
      </c>
      <c r="AB43" s="49">
        <f t="shared" si="21"/>
        <v>3.0038200805880443E-2</v>
      </c>
      <c r="AC43" s="90" t="str">
        <f t="shared" si="21"/>
        <v/>
      </c>
      <c r="AE43"/>
      <c r="AF43"/>
      <c r="AH43"/>
      <c r="AI43"/>
      <c r="AJ43"/>
      <c r="AK43"/>
    </row>
    <row r="44" spans="1:37" x14ac:dyDescent="0.35">
      <c r="A44" s="45">
        <v>48228</v>
      </c>
      <c r="B44" s="46">
        <v>1.25E-3</v>
      </c>
      <c r="C44" s="2">
        <v>10</v>
      </c>
      <c r="D44" s="1">
        <f t="shared" si="1"/>
        <v>44576</v>
      </c>
      <c r="E44" s="47">
        <f>IF(A44&lt;G$11,"",ROUND((VLOOKUP(YEAR(EDATE(D44,-2)),CPI!$A:$M,MONTH(EDATE(D44,-2))+1,FALSE)*(DAY(D44)-1)+VLOOKUP(YEAR(EDATE(D44,-3)),CPI!$A:$M,MONTH(EDATE(D44,-3))+1,FALSE)*(DAY(EOMONTH(D44,0))-DAY(D44)+1))/DAY(EOMONTH(D44,0)),5))</f>
        <v>277.20274000000001</v>
      </c>
      <c r="F44" s="48">
        <f>IF(A44&lt;G$11,"",VLOOKUP($A44+$B44,Quotes!$A:$AAO,$G$8,FALSE))</f>
        <v>51102.455999999998</v>
      </c>
      <c r="G44" s="47">
        <f t="shared" si="2"/>
        <v>1.16933</v>
      </c>
      <c r="H44" s="50">
        <f t="shared" si="3"/>
        <v>59755.634874479998</v>
      </c>
      <c r="I44" s="47">
        <f>IF(A44&lt;G$11,"",VLOOKUP($A44+$B44,Quotes!$A:$AAO,$G$8+2,FALSE))</f>
        <v>91.875</v>
      </c>
      <c r="J44" s="50">
        <f t="shared" si="4"/>
        <v>54900.489540928502</v>
      </c>
      <c r="K44" s="49">
        <f>IF(A44&lt;G$11,"",VLOOKUP($A44+$B44,Quotes!$A:$AAO,$G$8+3,FALSE))</f>
        <v>1.504E-2</v>
      </c>
      <c r="L44" s="226">
        <f t="shared" si="5"/>
        <v>2032</v>
      </c>
      <c r="M44" s="224">
        <f t="shared" si="19"/>
        <v>825.70336269556469</v>
      </c>
      <c r="N44" s="114">
        <f t="shared" si="6"/>
        <v>0.35869565217391303</v>
      </c>
      <c r="O44" s="48">
        <f t="shared" si="7"/>
        <v>12</v>
      </c>
      <c r="P44" s="63">
        <f t="shared" si="8"/>
        <v>91.931750616357675</v>
      </c>
      <c r="Q44" s="64">
        <f t="shared" si="9"/>
        <v>91.9311891280136</v>
      </c>
      <c r="R44" s="64">
        <f t="shared" si="10"/>
        <v>81.411503871810311</v>
      </c>
      <c r="S44" s="64">
        <f t="shared" si="11"/>
        <v>6.153615105254441</v>
      </c>
      <c r="T44" s="64">
        <f t="shared" si="12"/>
        <v>6.1076853117103793</v>
      </c>
      <c r="U44" s="64">
        <f t="shared" si="13"/>
        <v>6.1793478260869561</v>
      </c>
      <c r="V44" s="64">
        <f t="shared" si="14"/>
        <v>6.1076650919034137</v>
      </c>
      <c r="W44" s="64">
        <f t="shared" si="15"/>
        <v>6.1535947333945273</v>
      </c>
      <c r="X44" s="68">
        <f t="shared" si="16"/>
        <v>0.11443540097968574</v>
      </c>
      <c r="Y44" s="91" t="str">
        <f t="shared" si="20"/>
        <v/>
      </c>
      <c r="Z44" s="49" t="str">
        <f t="shared" si="21"/>
        <v/>
      </c>
      <c r="AA44" s="49">
        <f t="shared" si="21"/>
        <v>3.8268597191098146E-2</v>
      </c>
      <c r="AB44" s="49">
        <f t="shared" si="21"/>
        <v>3.1239792262335551E-2</v>
      </c>
      <c r="AC44" s="90" t="str">
        <f t="shared" si="21"/>
        <v/>
      </c>
      <c r="AE44"/>
      <c r="AF44"/>
      <c r="AH44"/>
      <c r="AI44"/>
      <c r="AJ44"/>
      <c r="AK44"/>
    </row>
    <row r="45" spans="1:37" x14ac:dyDescent="0.35">
      <c r="A45" s="45">
        <v>48319</v>
      </c>
      <c r="B45" s="46">
        <v>3.3750000000000002E-2</v>
      </c>
      <c r="C45" s="2">
        <v>30.5</v>
      </c>
      <c r="D45" s="1">
        <f t="shared" si="1"/>
        <v>37179</v>
      </c>
      <c r="E45" s="47">
        <f>IF(A45&lt;G$11,"",ROUND((VLOOKUP(YEAR(EDATE(D45,-2)),CPI!$A:$M,MONTH(EDATE(D45,-2))+1,FALSE)*(DAY(D45)-1)+VLOOKUP(YEAR(EDATE(D45,-3)),CPI!$A:$M,MONTH(EDATE(D45,-3))+1,FALSE)*(DAY(EOMONTH(D45,0))-DAY(D45)+1))/DAY(EOMONTH(D45,0)),5))</f>
        <v>177.5</v>
      </c>
      <c r="F45" s="48">
        <f>IF(A45&lt;G$11,"",VLOOKUP($A45+$B45,Quotes!$A:$AAO,$G$8,FALSE))</f>
        <v>5000.0110000000004</v>
      </c>
      <c r="G45" s="47">
        <f t="shared" si="2"/>
        <v>1.8261499999999999</v>
      </c>
      <c r="H45" s="50">
        <f t="shared" si="3"/>
        <v>9130.7700876500003</v>
      </c>
      <c r="I45" s="47">
        <f>IF(A45&lt;G$11,"",VLOOKUP($A45+$B45,Quotes!$A:$AAO,$G$8+2,FALSE))</f>
        <v>111.37500000000001</v>
      </c>
      <c r="J45" s="50">
        <f t="shared" si="4"/>
        <v>10169.395185120189</v>
      </c>
      <c r="K45" s="49">
        <f>IF(A45&lt;G$11,"",VLOOKUP($A45+$B45,Quotes!$A:$AAO,$G$8+3,FALSE))</f>
        <v>1.5089999999999999E-2</v>
      </c>
      <c r="L45" s="226">
        <f t="shared" si="5"/>
        <v>2032</v>
      </c>
      <c r="M45" s="224">
        <f t="shared" si="19"/>
        <v>153.45617334346363</v>
      </c>
      <c r="N45" s="114">
        <f t="shared" si="6"/>
        <v>0.8571428571428571</v>
      </c>
      <c r="O45" s="48">
        <f t="shared" si="7"/>
        <v>12</v>
      </c>
      <c r="P45" s="63">
        <f t="shared" si="8"/>
        <v>111.63166920192522</v>
      </c>
      <c r="Q45" s="64">
        <f t="shared" si="9"/>
        <v>111.63102009698444</v>
      </c>
      <c r="R45" s="64">
        <f t="shared" si="10"/>
        <v>99.474064903399281</v>
      </c>
      <c r="S45" s="64">
        <f t="shared" si="11"/>
        <v>5.8585938964421143</v>
      </c>
      <c r="T45" s="64">
        <f t="shared" si="12"/>
        <v>5.8147218203078914</v>
      </c>
      <c r="U45" s="64">
        <f t="shared" si="13"/>
        <v>6.4285714285714288</v>
      </c>
      <c r="V45" s="64">
        <f t="shared" si="14"/>
        <v>5.8147024533106162</v>
      </c>
      <c r="W45" s="64">
        <f t="shared" si="15"/>
        <v>5.8585743833208443</v>
      </c>
      <c r="X45" s="68">
        <f t="shared" si="16"/>
        <v>0.10890820127874845</v>
      </c>
      <c r="Y45" s="91" t="str">
        <f t="shared" si="20"/>
        <v/>
      </c>
      <c r="Z45" s="49" t="str">
        <f t="shared" si="21"/>
        <v/>
      </c>
      <c r="AA45" s="49">
        <f t="shared" si="21"/>
        <v>7.0886159899599989E-3</v>
      </c>
      <c r="AB45" s="49">
        <f t="shared" si="21"/>
        <v>5.7866477270646427E-3</v>
      </c>
      <c r="AC45" s="90" t="str">
        <f t="shared" si="21"/>
        <v/>
      </c>
      <c r="AE45"/>
      <c r="AF45"/>
      <c r="AH45"/>
      <c r="AI45"/>
      <c r="AJ45"/>
      <c r="AK45"/>
    </row>
    <row r="46" spans="1:37" x14ac:dyDescent="0.35">
      <c r="A46" s="45">
        <v>48410</v>
      </c>
      <c r="B46" s="46">
        <v>6.2500000000000003E-3</v>
      </c>
      <c r="C46" s="2">
        <v>10</v>
      </c>
      <c r="D46" s="1">
        <f t="shared" si="1"/>
        <v>44757</v>
      </c>
      <c r="E46" s="47">
        <f>IF(A46&lt;G$11,"",ROUND((VLOOKUP(YEAR(EDATE(D46,-2)),CPI!$A:$M,MONTH(EDATE(D46,-2))+1,FALSE)*(DAY(D46)-1)+VLOOKUP(YEAR(EDATE(D46,-3)),CPI!$A:$M,MONTH(EDATE(D46,-3))+1,FALSE)*(DAY(EOMONTH(D46,0))-DAY(D46)+1))/DAY(EOMONTH(D46,0)),5))</f>
        <v>290.54829000000001</v>
      </c>
      <c r="F46" s="48">
        <f>IF(A46&lt;G$11,"",VLOOKUP($A46+$B46,Quotes!$A:$AAO,$G$8,FALSE))</f>
        <v>48630.847999999998</v>
      </c>
      <c r="G46" s="47">
        <f t="shared" si="2"/>
        <v>1.1156200000000001</v>
      </c>
      <c r="H46" s="50">
        <f t="shared" si="3"/>
        <v>54253.546645759998</v>
      </c>
      <c r="I46" s="47">
        <f>IF(A46&lt;G$11,"",VLOOKUP($A46+$B46,Quotes!$A:$AAO,$G$8+2,FALSE))</f>
        <v>94.4375</v>
      </c>
      <c r="J46" s="50">
        <f t="shared" si="4"/>
        <v>51235.693113589594</v>
      </c>
      <c r="K46" s="49">
        <f>IF(A46&lt;G$11,"",VLOOKUP($A46+$B46,Quotes!$A:$AAO,$G$8+3,FALSE))</f>
        <v>1.502E-2</v>
      </c>
      <c r="L46" s="226">
        <f t="shared" si="5"/>
        <v>2032</v>
      </c>
      <c r="M46" s="224">
        <f t="shared" si="19"/>
        <v>769.56011056611567</v>
      </c>
      <c r="N46" s="114">
        <f t="shared" si="6"/>
        <v>0.35869565217391303</v>
      </c>
      <c r="O46" s="48">
        <f t="shared" si="7"/>
        <v>13</v>
      </c>
      <c r="P46" s="63">
        <f t="shared" si="8"/>
        <v>94.646404631057536</v>
      </c>
      <c r="Q46" s="64">
        <f t="shared" si="9"/>
        <v>94.645790832982556</v>
      </c>
      <c r="R46" s="64">
        <f t="shared" si="10"/>
        <v>83.197070803777834</v>
      </c>
      <c r="S46" s="64">
        <f t="shared" si="11"/>
        <v>6.5338972950419159</v>
      </c>
      <c r="T46" s="64">
        <f t="shared" si="12"/>
        <v>6.4851934919176148</v>
      </c>
      <c r="U46" s="64">
        <f t="shared" si="13"/>
        <v>6.6793478260869561</v>
      </c>
      <c r="V46" s="64">
        <f t="shared" si="14"/>
        <v>6.4851705394719517</v>
      </c>
      <c r="W46" s="64">
        <f t="shared" si="15"/>
        <v>6.5338741702233856</v>
      </c>
      <c r="X46" s="68">
        <f t="shared" si="16"/>
        <v>0.12096955898019057</v>
      </c>
      <c r="Y46" s="91" t="str">
        <f t="shared" si="20"/>
        <v/>
      </c>
      <c r="Z46" s="49" t="str">
        <f t="shared" si="21"/>
        <v/>
      </c>
      <c r="AA46" s="49">
        <f t="shared" si="21"/>
        <v>3.5714036759343627E-2</v>
      </c>
      <c r="AB46" s="49">
        <f t="shared" si="21"/>
        <v>2.9154428724940017E-2</v>
      </c>
      <c r="AC46" s="90" t="str">
        <f t="shared" si="21"/>
        <v/>
      </c>
      <c r="AE46"/>
      <c r="AF46"/>
      <c r="AH46"/>
      <c r="AI46"/>
      <c r="AJ46"/>
      <c r="AK46"/>
    </row>
    <row r="47" spans="1:37" x14ac:dyDescent="0.35">
      <c r="A47" s="45">
        <v>48594</v>
      </c>
      <c r="B47" s="46">
        <v>1.125E-2</v>
      </c>
      <c r="C47" s="2">
        <v>10</v>
      </c>
      <c r="D47" s="1">
        <f t="shared" si="1"/>
        <v>44941</v>
      </c>
      <c r="E47" s="47">
        <f>IF(A47&lt;G$11,"",ROUND((VLOOKUP(YEAR(EDATE(D47,-2)),CPI!$A:$M,MONTH(EDATE(D47,-2))+1,FALSE)*(DAY(D47)-1)+VLOOKUP(YEAR(EDATE(D47,-3)),CPI!$A:$M,MONTH(EDATE(D47,-3))+1,FALSE)*(DAY(EOMONTH(D47,0))-DAY(D47)+1))/DAY(EOMONTH(D47,0)),5))</f>
        <v>297.87606</v>
      </c>
      <c r="F47" s="48">
        <f>IF(A47&lt;G$11,"",VLOOKUP($A47+$B47,Quotes!$A:$AAO,$G$8,FALSE))</f>
        <v>49817.124000000003</v>
      </c>
      <c r="G47" s="47">
        <f t="shared" si="2"/>
        <v>1.0881700000000001</v>
      </c>
      <c r="H47" s="50">
        <f t="shared" si="3"/>
        <v>54209.499823080005</v>
      </c>
      <c r="I47" s="47">
        <f>IF(A47&lt;G$11,"",VLOOKUP($A47+$B47,Quotes!$A:$AAO,$G$8+2,FALSE))</f>
        <v>96.656249999999986</v>
      </c>
      <c r="J47" s="50">
        <f t="shared" ref="J47:J77" si="41">IF(A47&lt;G$11,"",H47*I47/100)</f>
        <v>52396.869672745757</v>
      </c>
      <c r="K47" s="49">
        <f>IF(A47&lt;G$11,"",VLOOKUP($A47+$B47,Quotes!$A:$AAO,$G$8+3,FALSE))</f>
        <v>1.6200000000000003E-2</v>
      </c>
      <c r="L47" s="226">
        <f t="shared" si="5"/>
        <v>2033</v>
      </c>
      <c r="M47" s="224">
        <f t="shared" si="19"/>
        <v>848.82928869848138</v>
      </c>
      <c r="N47" s="114">
        <f t="shared" ref="N47:N77" si="42">IF(A47&lt;G$11,"",COUPDAYSNC(G$10,A47,2,1)/COUPDAYS(G$10,A47,2,1))</f>
        <v>0.35869565217391303</v>
      </c>
      <c r="O47" s="48">
        <f t="shared" ref="O47:O77" si="43">IF(A47&lt;G$11,"",COUPNUM(G$10,A47,2,1)-1)</f>
        <v>14</v>
      </c>
      <c r="P47" s="63">
        <f t="shared" ref="P47:P77" si="44">IF(A47&lt;G$11,"",100*(-PV(K47/2,O47,B47/2,1,0)+B47/2)/(1+K47/2)^N47)</f>
        <v>97.018058601687542</v>
      </c>
      <c r="Q47" s="64">
        <f t="shared" ref="Q47:Q77" si="45">IF(A47&lt;G$11,"",100*(-PV(($K47+Q$15)/2,$O47,$B47/2,1,0)+$B47/2)/(1+($K47+Q$15)/2)^$N47)</f>
        <v>97.017395890723435</v>
      </c>
      <c r="R47" s="64">
        <f t="shared" ref="R47:R77" si="46">IF(A47&lt;G$11,"",100*(-PV(($K47+R$15)/2,$O47,$B47/2,1,0)+$B47/2)/(1+($K47+R$15)/2)^$N47)</f>
        <v>84.709221664117706</v>
      </c>
      <c r="S47" s="64">
        <f t="shared" ref="S47:S77" si="47">IF(A47&lt;G$11,"",DURATION($G$10,$A47,$B47,$K47,2,1))</f>
        <v>6.8861554710957558</v>
      </c>
      <c r="T47" s="64">
        <f t="shared" ref="T47:T77" si="48">IF(A47&lt;G$11,"",MDURATION($G$10,$A47,$B47,$K47,2,1))</f>
        <v>6.8308257822594545</v>
      </c>
      <c r="U47" s="64">
        <f t="shared" ref="U47:U77" si="49">IF(A47&lt;G$11,"",(O47+N47)/2)</f>
        <v>7.1793478260869561</v>
      </c>
      <c r="V47" s="64">
        <f t="shared" ref="V47:V77" si="50">IF(A47&lt;G$11,"",-(Q47/P47-1)/Q$15)</f>
        <v>6.8308000970018767</v>
      </c>
      <c r="W47" s="64">
        <f t="shared" ref="W47:W77" si="51">IF(A47&lt;G$11,"",V47*(1+K47/2))</f>
        <v>6.8861295777875915</v>
      </c>
      <c r="X47" s="68">
        <f t="shared" ref="X47:X77" si="52">IF(A47&lt;G$11,"",-(R47/P47-1))</f>
        <v>0.12687160632748151</v>
      </c>
      <c r="Y47" s="91" t="str">
        <f t="shared" si="20"/>
        <v/>
      </c>
      <c r="Z47" s="49" t="str">
        <f t="shared" si="21"/>
        <v/>
      </c>
      <c r="AA47" s="49">
        <f t="shared" si="21"/>
        <v>3.6523439341755309E-2</v>
      </c>
      <c r="AB47" s="49">
        <f t="shared" si="21"/>
        <v>2.9815168087944953E-2</v>
      </c>
      <c r="AC47" s="90" t="str">
        <f t="shared" si="21"/>
        <v/>
      </c>
      <c r="AE47"/>
      <c r="AF47"/>
      <c r="AH47"/>
      <c r="AI47"/>
      <c r="AJ47"/>
      <c r="AK47"/>
    </row>
    <row r="48" spans="1:37" x14ac:dyDescent="0.35">
      <c r="A48" s="45">
        <v>48775</v>
      </c>
      <c r="B48" s="46">
        <v>1.375E-2</v>
      </c>
      <c r="C48" s="2">
        <v>10</v>
      </c>
      <c r="D48" s="1">
        <f t="shared" si="1"/>
        <v>45122</v>
      </c>
      <c r="E48" s="47">
        <f>IF(A48&lt;G$11,"",ROUND((VLOOKUP(YEAR(EDATE(D48,-2)),CPI!$A:$M,MONTH(EDATE(D48,-2))+1,FALSE)*(DAY(D48)-1)+VLOOKUP(YEAR(EDATE(D48,-3)),CPI!$A:$M,MONTH(EDATE(D48,-3))+1,FALSE)*(DAY(EOMONTH(D48,0))-DAY(D48)+1))/DAY(EOMONTH(D48,0)),5))</f>
        <v>303.70803000000001</v>
      </c>
      <c r="F48" s="48">
        <f>IF(A48&lt;G$11,"",VLOOKUP($A48+$B48,Quotes!$A:$AAO,$G$8,FALSE))</f>
        <v>47172.837</v>
      </c>
      <c r="G48" s="47">
        <f t="shared" si="2"/>
        <v>1.06728</v>
      </c>
      <c r="H48" s="50">
        <f t="shared" si="3"/>
        <v>50346.62547336</v>
      </c>
      <c r="I48" s="47">
        <f>IF(A48&lt;G$11,"",VLOOKUP($A48+$B48,Quotes!$A:$AAO,$G$8+2,FALSE))</f>
        <v>98.281250000000014</v>
      </c>
      <c r="J48" s="50">
        <f t="shared" si="41"/>
        <v>49481.292848036632</v>
      </c>
      <c r="K48" s="49">
        <f>IF(A48&lt;G$11,"",VLOOKUP($A48+$B48,Quotes!$A:$AAO,$G$8+3,FALSE))</f>
        <v>1.6160000000000001E-2</v>
      </c>
      <c r="L48" s="226">
        <f t="shared" si="5"/>
        <v>2033</v>
      </c>
      <c r="M48" s="224">
        <f t="shared" si="19"/>
        <v>799.61769242427204</v>
      </c>
      <c r="N48" s="114">
        <f t="shared" si="42"/>
        <v>0.35869565217391303</v>
      </c>
      <c r="O48" s="48">
        <f t="shared" si="43"/>
        <v>15</v>
      </c>
      <c r="P48" s="63">
        <f t="shared" si="44"/>
        <v>98.706337141296373</v>
      </c>
      <c r="Q48" s="64">
        <f t="shared" si="45"/>
        <v>98.705624533666708</v>
      </c>
      <c r="R48" s="64">
        <f t="shared" si="46"/>
        <v>85.529427789309125</v>
      </c>
      <c r="S48" s="64">
        <f t="shared" si="47"/>
        <v>7.27783429217574</v>
      </c>
      <c r="T48" s="64">
        <f t="shared" si="48"/>
        <v>7.2195007263071771</v>
      </c>
      <c r="U48" s="64">
        <f t="shared" si="49"/>
        <v>7.6793478260869561</v>
      </c>
      <c r="V48" s="64">
        <f t="shared" si="50"/>
        <v>7.2194719235030291</v>
      </c>
      <c r="W48" s="64">
        <f t="shared" si="51"/>
        <v>7.2778052566449345</v>
      </c>
      <c r="X48" s="68">
        <f t="shared" si="52"/>
        <v>0.13349608276036762</v>
      </c>
      <c r="Y48" s="91" t="str">
        <f t="shared" si="20"/>
        <v/>
      </c>
      <c r="Z48" s="49" t="str">
        <f t="shared" si="21"/>
        <v/>
      </c>
      <c r="AA48" s="49">
        <f t="shared" si="21"/>
        <v>3.4491125312910174E-2</v>
      </c>
      <c r="AB48" s="49">
        <f t="shared" si="21"/>
        <v>2.8156129797204558E-2</v>
      </c>
      <c r="AC48" s="90" t="str">
        <f t="shared" si="21"/>
        <v/>
      </c>
      <c r="AE48"/>
      <c r="AF48"/>
      <c r="AH48"/>
      <c r="AI48"/>
      <c r="AJ48"/>
      <c r="AK48"/>
    </row>
    <row r="49" spans="1:37" x14ac:dyDescent="0.35">
      <c r="A49" s="45">
        <v>48959</v>
      </c>
      <c r="B49" s="46">
        <v>1.7500000000000002E-2</v>
      </c>
      <c r="C49" s="2">
        <v>10</v>
      </c>
      <c r="D49" s="1">
        <f t="shared" si="1"/>
        <v>45306</v>
      </c>
      <c r="E49" s="47">
        <f>IF(A49&lt;G$11,"",ROUND((VLOOKUP(YEAR(EDATE(D49,-2)),CPI!$A:$M,MONTH(EDATE(D49,-2))+1,FALSE)*(DAY(D49)-1)+VLOOKUP(YEAR(EDATE(D49,-3)),CPI!$A:$M,MONTH(EDATE(D49,-3))+1,FALSE)*(DAY(EOMONTH(D49,0))-DAY(D49)+1))/DAY(EOMONTH(D49,0)),5))</f>
        <v>307.39100000000002</v>
      </c>
      <c r="F49" s="48">
        <f>IF(A49&lt;G$11,"",VLOOKUP($A49+$B49,Quotes!$A:$AAO,$G$8,FALSE))</f>
        <v>50949.911</v>
      </c>
      <c r="G49" s="47">
        <f t="shared" si="2"/>
        <v>1.0544899999999999</v>
      </c>
      <c r="H49" s="50">
        <f t="shared" si="3"/>
        <v>53726.171650389995</v>
      </c>
      <c r="I49" s="47">
        <f>IF(A49&lt;G$11,"",VLOOKUP($A49+$B49,Quotes!$A:$AAO,$G$8+2,FALSE))</f>
        <v>100.25</v>
      </c>
      <c r="J49" s="50">
        <f t="shared" si="41"/>
        <v>53860.487079515966</v>
      </c>
      <c r="K49" s="49">
        <f>IF(A49&lt;G$11,"",VLOOKUP($A49+$B49,Quotes!$A:$AAO,$G$8+3,FALSE))</f>
        <v>1.7180000000000001E-2</v>
      </c>
      <c r="L49" s="226">
        <f t="shared" si="5"/>
        <v>2034</v>
      </c>
      <c r="M49" s="224">
        <f t="shared" si="19"/>
        <v>925.32316802608432</v>
      </c>
      <c r="N49" s="114">
        <f t="shared" si="42"/>
        <v>0.35869565217391303</v>
      </c>
      <c r="O49" s="48">
        <f t="shared" si="43"/>
        <v>16</v>
      </c>
      <c r="P49" s="63">
        <f t="shared" si="44"/>
        <v>100.80348977234183</v>
      </c>
      <c r="Q49" s="64">
        <f t="shared" si="45"/>
        <v>100.80272867200924</v>
      </c>
      <c r="R49" s="64">
        <f t="shared" si="46"/>
        <v>86.788787295768387</v>
      </c>
      <c r="S49" s="64">
        <f t="shared" si="47"/>
        <v>7.6152265699050323</v>
      </c>
      <c r="T49" s="64">
        <f t="shared" si="48"/>
        <v>7.5503689010450543</v>
      </c>
      <c r="U49" s="64">
        <f t="shared" si="49"/>
        <v>8.179347826086957</v>
      </c>
      <c r="V49" s="64">
        <f t="shared" si="50"/>
        <v>7.5503371392837693</v>
      </c>
      <c r="W49" s="64">
        <f t="shared" si="51"/>
        <v>7.6151945353102173</v>
      </c>
      <c r="X49" s="68">
        <f t="shared" si="52"/>
        <v>0.13902993346981085</v>
      </c>
      <c r="Y49" s="91" t="str">
        <f t="shared" si="20"/>
        <v/>
      </c>
      <c r="Z49" s="49" t="str">
        <f t="shared" si="21"/>
        <v/>
      </c>
      <c r="AA49" s="49">
        <f t="shared" si="21"/>
        <v>3.7543659479133365E-2</v>
      </c>
      <c r="AB49" s="49">
        <f t="shared" si="21"/>
        <v>3.0648004081237013E-2</v>
      </c>
      <c r="AC49" s="90" t="str">
        <f t="shared" si="21"/>
        <v/>
      </c>
      <c r="AE49"/>
      <c r="AF49"/>
      <c r="AH49"/>
      <c r="AI49"/>
      <c r="AJ49"/>
      <c r="AK49"/>
    </row>
    <row r="50" spans="1:37" x14ac:dyDescent="0.35">
      <c r="A50" s="45">
        <v>49140</v>
      </c>
      <c r="B50" s="46">
        <v>1.8749999999999999E-2</v>
      </c>
      <c r="C50" s="2">
        <v>10</v>
      </c>
      <c r="D50" s="1">
        <f t="shared" si="1"/>
        <v>45488</v>
      </c>
      <c r="E50" s="47">
        <f>IF(A50&lt;G$11,"",ROUND((VLOOKUP(YEAR(EDATE(D50,-2)),CPI!$A:$M,MONTH(EDATE(D50,-2))+1,FALSE)*(DAY(D50)-1)+VLOOKUP(YEAR(EDATE(D50,-3)),CPI!$A:$M,MONTH(EDATE(D50,-3))+1,FALSE)*(DAY(EOMONTH(D50,0))-DAY(D50)+1))/DAY(EOMONTH(D50,0)),5))</f>
        <v>313.78329000000002</v>
      </c>
      <c r="F50" s="48">
        <f>IF(A50&lt;G$11,"",VLOOKUP($A50+$B50,Quotes!$A:$AAO,$G$8,FALSE))</f>
        <v>54398.584000000003</v>
      </c>
      <c r="G50" s="47">
        <f t="shared" si="2"/>
        <v>1.03301</v>
      </c>
      <c r="H50" s="50">
        <f t="shared" si="3"/>
        <v>56194.281257840004</v>
      </c>
      <c r="I50" s="47">
        <f>IF(A50&lt;G$11,"",VLOOKUP($A50+$B50,Quotes!$A:$AAO,$G$8+2,FALSE))</f>
        <v>101.25</v>
      </c>
      <c r="J50" s="50">
        <f t="shared" si="41"/>
        <v>56896.709773563009</v>
      </c>
      <c r="K50" s="49">
        <f>IF(A50&lt;G$11,"",VLOOKUP($A50+$B50,Quotes!$A:$AAO,$G$8+3,FALSE))</f>
        <v>1.72E-2</v>
      </c>
      <c r="L50" s="226">
        <f t="shared" si="5"/>
        <v>2034</v>
      </c>
      <c r="M50" s="224">
        <f t="shared" si="19"/>
        <v>978.62340810528372</v>
      </c>
      <c r="N50" s="114">
        <f t="shared" si="42"/>
        <v>0.35869565217391303</v>
      </c>
      <c r="O50" s="48">
        <f t="shared" si="43"/>
        <v>17</v>
      </c>
      <c r="P50" s="63">
        <f t="shared" si="44"/>
        <v>101.84504173269011</v>
      </c>
      <c r="Q50" s="64">
        <f t="shared" si="45"/>
        <v>101.84423309096111</v>
      </c>
      <c r="R50" s="64">
        <f t="shared" si="46"/>
        <v>87.020503972639702</v>
      </c>
      <c r="S50" s="64">
        <f t="shared" si="47"/>
        <v>8.0082412595143762</v>
      </c>
      <c r="T50" s="64">
        <f t="shared" si="48"/>
        <v>7.9399576239484206</v>
      </c>
      <c r="U50" s="64">
        <f t="shared" si="49"/>
        <v>8.679347826086957</v>
      </c>
      <c r="V50" s="64">
        <f t="shared" si="50"/>
        <v>7.9399224079956809</v>
      </c>
      <c r="W50" s="64">
        <f t="shared" si="51"/>
        <v>8.0082057407044438</v>
      </c>
      <c r="X50" s="68">
        <f t="shared" si="52"/>
        <v>0.14555973965782221</v>
      </c>
      <c r="Y50" s="91" t="str">
        <f t="shared" si="20"/>
        <v/>
      </c>
      <c r="Z50" s="49" t="str">
        <f t="shared" si="21"/>
        <v/>
      </c>
      <c r="AA50" s="49">
        <f t="shared" si="21"/>
        <v>3.9660070174785463E-2</v>
      </c>
      <c r="AB50" s="49">
        <f t="shared" si="21"/>
        <v>3.2375692978318826E-2</v>
      </c>
      <c r="AC50" s="90" t="str">
        <f t="shared" si="21"/>
        <v/>
      </c>
      <c r="AE50"/>
      <c r="AF50"/>
      <c r="AH50"/>
      <c r="AI50"/>
      <c r="AJ50"/>
      <c r="AK50"/>
    </row>
    <row r="51" spans="1:37" x14ac:dyDescent="0.35">
      <c r="A51" s="45">
        <v>49324</v>
      </c>
      <c r="B51" s="46">
        <v>2.1250000000000002E-2</v>
      </c>
      <c r="C51" s="2">
        <v>10</v>
      </c>
      <c r="D51" s="1">
        <f t="shared" si="1"/>
        <v>45672</v>
      </c>
      <c r="E51" s="47">
        <f>IF(A51&lt;G$11,"",ROUND((VLOOKUP(YEAR(EDATE(D51,-2)),CPI!$A:$M,MONTH(EDATE(D51,-2))+1,FALSE)*(DAY(D51)-1)+VLOOKUP(YEAR(EDATE(D51,-3)),CPI!$A:$M,MONTH(EDATE(D51,-3))+1,FALSE)*(DAY(EOMONTH(D51,0))-DAY(D51)+1))/DAY(EOMONTH(D51,0)),5))</f>
        <v>315.58677</v>
      </c>
      <c r="F51" s="48">
        <f>IF(A51&lt;G$11,"",VLOOKUP($A51+$B51,Quotes!$A:$AAO,$G$8,FALSE))</f>
        <v>57642.264999999999</v>
      </c>
      <c r="G51" s="47">
        <f t="shared" ref="G51" si="53">IF(A51&lt;G$11,"",ROUND(G$12/E51,5))</f>
        <v>1.02711</v>
      </c>
      <c r="H51" s="50">
        <f t="shared" ref="H51" si="54">IF(A51&lt;G$11,"",F51*G51)</f>
        <v>59204.94680415</v>
      </c>
      <c r="I51" s="47">
        <f>IF(A51&lt;G$11,"",VLOOKUP($A51+$B51,Quotes!$A:$AAO,$G$8+2,FALSE))</f>
        <v>102.65624999999999</v>
      </c>
      <c r="J51" s="50">
        <f t="shared" si="41"/>
        <v>60777.578203635225</v>
      </c>
      <c r="K51" s="49">
        <f>IF(A51&lt;G$11,"",VLOOKUP($A51+$B51,Quotes!$A:$AAO,$G$8+3,FALSE))</f>
        <v>1.8089999999999998E-2</v>
      </c>
      <c r="L51" s="226">
        <f t="shared" si="5"/>
        <v>2035</v>
      </c>
      <c r="M51" s="224">
        <f t="shared" si="19"/>
        <v>1099.466389703761</v>
      </c>
      <c r="N51" s="114">
        <f t="shared" si="42"/>
        <v>0.35869565217391303</v>
      </c>
      <c r="O51" s="48">
        <f t="shared" si="43"/>
        <v>18</v>
      </c>
      <c r="P51" s="63">
        <f t="shared" si="44"/>
        <v>103.34187037518737</v>
      </c>
      <c r="Q51" s="64">
        <f t="shared" si="45"/>
        <v>103.34101561137777</v>
      </c>
      <c r="R51" s="64">
        <f t="shared" si="46"/>
        <v>87.736831881160512</v>
      </c>
      <c r="S51" s="64">
        <f t="shared" si="47"/>
        <v>8.3460765416215814</v>
      </c>
      <c r="T51" s="64">
        <f t="shared" si="48"/>
        <v>8.2712629680753409</v>
      </c>
      <c r="U51" s="64">
        <f t="shared" si="49"/>
        <v>9.179347826086957</v>
      </c>
      <c r="V51" s="64">
        <f t="shared" si="50"/>
        <v>8.2712244949822988</v>
      </c>
      <c r="W51" s="64">
        <f t="shared" si="51"/>
        <v>8.3460377205394138</v>
      </c>
      <c r="X51" s="68">
        <f t="shared" si="52"/>
        <v>0.1510040261258293</v>
      </c>
      <c r="Y51" s="91" t="str">
        <f t="shared" si="20"/>
        <v/>
      </c>
      <c r="Z51" s="49" t="str">
        <f t="shared" si="21"/>
        <v/>
      </c>
      <c r="AA51" s="49">
        <f t="shared" si="21"/>
        <v>4.2365244426307645E-2</v>
      </c>
      <c r="AB51" s="49">
        <f t="shared" si="21"/>
        <v>3.4584007049225776E-2</v>
      </c>
      <c r="AC51" s="90" t="str">
        <f t="shared" si="21"/>
        <v/>
      </c>
      <c r="AE51"/>
      <c r="AF51"/>
      <c r="AH51"/>
      <c r="AI51"/>
      <c r="AJ51"/>
      <c r="AK51"/>
    </row>
    <row r="52" spans="1:37" x14ac:dyDescent="0.35">
      <c r="A52" s="45">
        <v>49505</v>
      </c>
      <c r="B52" s="46">
        <v>1.8749999999999999E-2</v>
      </c>
      <c r="C52" s="2">
        <v>10</v>
      </c>
      <c r="D52" s="1">
        <f t="shared" ref="D52" si="55">IF(A52&lt;G$11,"",EDATE(A52,-12*C52))</f>
        <v>45853</v>
      </c>
      <c r="E52" s="47">
        <f>IF(A52&lt;G$11,"",ROUND((VLOOKUP(YEAR(EDATE(D52,-2)),CPI!$A:$M,MONTH(EDATE(D52,-2))+1,FALSE)*(DAY(D52)-1)+VLOOKUP(YEAR(EDATE(D52,-3)),CPI!$A:$M,MONTH(EDATE(D52,-3))+1,FALSE)*(DAY(EOMONTH(D52,0))-DAY(D52)+1))/DAY(EOMONTH(D52,0)),5))</f>
        <v>321.09757999999999</v>
      </c>
      <c r="F52" s="48">
        <f>IF(A52&lt;G$11,"",VLOOKUP($A52+$B52,Quotes!$A:$AAO,$G$8,FALSE))</f>
        <v>42479.177000000003</v>
      </c>
      <c r="G52" s="47">
        <f t="shared" ref="G52" si="56">IF(A52&lt;G$11,"",ROUND(G$12/E52,5))</f>
        <v>1.0094799999999999</v>
      </c>
      <c r="H52" s="50">
        <f t="shared" ref="H52" si="57">IF(A52&lt;G$11,"",F52*G52)</f>
        <v>42881.879597960004</v>
      </c>
      <c r="I52" s="47">
        <f>IF(A52&lt;G$11,"",VLOOKUP($A52+$B52,Quotes!$A:$AAO,$G$8+2,FALSE))</f>
        <v>100.59375</v>
      </c>
      <c r="J52" s="50">
        <f t="shared" ref="J52" si="58">IF(A52&lt;G$11,"",H52*I52/100)</f>
        <v>43136.49075807289</v>
      </c>
      <c r="K52" s="49">
        <f>IF(A52&lt;G$11,"",VLOOKUP($A52+$B52,Quotes!$A:$AAO,$G$8+3,FALSE))</f>
        <v>1.8069999999999999E-2</v>
      </c>
      <c r="L52" s="226">
        <f t="shared" si="5"/>
        <v>2035</v>
      </c>
      <c r="M52" s="224">
        <f t="shared" si="19"/>
        <v>779.47638799837705</v>
      </c>
      <c r="N52" s="114">
        <f t="shared" ref="N52" si="59">IF(A52&lt;G$11,"",COUPDAYSNC(G$10,A52,2,1)/COUPDAYS(G$10,A52,2,1))</f>
        <v>0.35869565217391303</v>
      </c>
      <c r="O52" s="48">
        <f t="shared" ref="O52" si="60">IF(A52&lt;G$11,"",COUPNUM(G$10,A52,2,1)-1)</f>
        <v>19</v>
      </c>
      <c r="P52" s="63">
        <f t="shared" ref="P52" si="61">IF(A52&lt;G$11,"",100*(-PV(K52/2,O52,B52/2,1,0)+B52/2)/(1+K52/2)^N52)</f>
        <v>101.20161894805777</v>
      </c>
      <c r="Q52" s="64">
        <f t="shared" ref="Q52" si="62">IF(A52&lt;G$11,"",100*(-PV(($K52+Q$15)/2,$O52,$B52/2,1,0)+$B52/2)/(1+($K52+Q$15)/2)^$N52)</f>
        <v>101.2007315866886</v>
      </c>
      <c r="R52" s="64">
        <f t="shared" ref="R52" si="63">IF(A52&lt;G$11,"",100*(-PV(($K52+R$15)/2,$O52,$B52/2,1,0)+$B52/2)/(1+($K52+R$15)/2)^$N52)</f>
        <v>85.079049554998676</v>
      </c>
      <c r="S52" s="64">
        <f t="shared" ref="S52" si="64">IF(A52&lt;G$11,"",DURATION($G$10,$A52,$B52,$K52,2,1))</f>
        <v>8.8475172245478504</v>
      </c>
      <c r="T52" s="64">
        <f t="shared" ref="T52" si="65">IF(A52&lt;G$11,"",MDURATION($G$10,$A52,$B52,$K52,2,1))</f>
        <v>8.7682956731410222</v>
      </c>
      <c r="U52" s="64">
        <f t="shared" ref="U52" si="66">IF(A52&lt;G$11,"",(O52+N52)/2)</f>
        <v>9.679347826086957</v>
      </c>
      <c r="V52" s="64">
        <f t="shared" ref="V52" si="67">IF(A52&lt;G$11,"",-(Q52/P52-1)/Q$15)</f>
        <v>8.7682527056820447</v>
      </c>
      <c r="W52" s="64">
        <f t="shared" ref="W52" si="68">IF(A52&lt;G$11,"",V52*(1+K52/2))</f>
        <v>8.8474738688778807</v>
      </c>
      <c r="X52" s="68">
        <f t="shared" ref="X52" si="69">IF(A52&lt;G$11,"",-(R52/P52-1))</f>
        <v>0.15931137822344599</v>
      </c>
      <c r="Y52" s="91" t="str">
        <f t="shared" si="20"/>
        <v/>
      </c>
      <c r="Z52" s="49" t="str">
        <f t="shared" si="21"/>
        <v/>
      </c>
      <c r="AA52" s="49">
        <f t="shared" si="21"/>
        <v>3.0068456636029851E-2</v>
      </c>
      <c r="AB52" s="49">
        <f t="shared" si="21"/>
        <v>2.4545774026363328E-2</v>
      </c>
      <c r="AC52" s="90" t="str">
        <f t="shared" si="21"/>
        <v/>
      </c>
      <c r="AE52"/>
      <c r="AF52"/>
      <c r="AH52"/>
      <c r="AI52"/>
      <c r="AJ52"/>
      <c r="AK52"/>
    </row>
    <row r="53" spans="1:37" x14ac:dyDescent="0.35">
      <c r="A53" s="45">
        <v>51181</v>
      </c>
      <c r="B53" s="46">
        <v>2.1250000000000002E-2</v>
      </c>
      <c r="C53" s="2">
        <v>30</v>
      </c>
      <c r="D53" s="1">
        <f t="shared" si="1"/>
        <v>40224</v>
      </c>
      <c r="E53" s="47">
        <f>IF(A53&lt;G$11,"",ROUND((VLOOKUP(YEAR(EDATE(D53,-2)),CPI!$A:$M,MONTH(EDATE(D53,-2))+1,FALSE)*(DAY(D53)-1)+VLOOKUP(YEAR(EDATE(D53,-3)),CPI!$A:$M,MONTH(EDATE(D53,-3))+1,FALSE)*(DAY(EOMONTH(D53,0))-DAY(D53)+1))/DAY(EOMONTH(D53,0)),5))</f>
        <v>216.1395</v>
      </c>
      <c r="F53" s="48">
        <f>IF(A53&lt;G$11,"",VLOOKUP($A53+$B53,Quotes!$A:$AAO,$G$8,FALSE))</f>
        <v>15171.391</v>
      </c>
      <c r="G53" s="47">
        <f t="shared" si="2"/>
        <v>1.4996799999999999</v>
      </c>
      <c r="H53" s="50">
        <f t="shared" si="3"/>
        <v>22752.231654879997</v>
      </c>
      <c r="I53" s="47">
        <f>IF(A53&lt;G$11,"",VLOOKUP($A53+$B53,Quotes!$A:$AAO,$G$8+2,FALSE))</f>
        <v>100.62500000000001</v>
      </c>
      <c r="J53" s="50">
        <f t="shared" si="41"/>
        <v>22894.433102723</v>
      </c>
      <c r="K53" s="49">
        <f>IF(A53&lt;G$11,"",VLOOKUP($A53+$B53,Quotes!$A:$AAO,$G$8+3,FALSE))</f>
        <v>2.0750000000000001E-2</v>
      </c>
      <c r="L53" s="226">
        <f t="shared" si="5"/>
        <v>2040</v>
      </c>
      <c r="M53" s="224">
        <f t="shared" si="19"/>
        <v>475.05948688150227</v>
      </c>
      <c r="N53" s="114">
        <f t="shared" si="42"/>
        <v>0.52717391304347827</v>
      </c>
      <c r="O53" s="48">
        <f t="shared" si="43"/>
        <v>28</v>
      </c>
      <c r="P53" s="63">
        <f t="shared" si="44"/>
        <v>101.11560095508624</v>
      </c>
      <c r="Q53" s="64">
        <f t="shared" si="45"/>
        <v>101.11436744049905</v>
      </c>
      <c r="R53" s="64">
        <f t="shared" si="46"/>
        <v>79.563186360572018</v>
      </c>
      <c r="S53" s="64">
        <f t="shared" si="47"/>
        <v>12.325703995892553</v>
      </c>
      <c r="T53" s="64">
        <f t="shared" si="48"/>
        <v>12.199137939767466</v>
      </c>
      <c r="U53" s="64">
        <f t="shared" si="49"/>
        <v>14.263586956521738</v>
      </c>
      <c r="V53" s="64">
        <f t="shared" si="50"/>
        <v>12.19905311877767</v>
      </c>
      <c r="W53" s="64">
        <f t="shared" si="51"/>
        <v>12.325618294884988</v>
      </c>
      <c r="X53" s="68">
        <f t="shared" si="52"/>
        <v>0.21314628396549229</v>
      </c>
      <c r="Y53" s="91" t="str">
        <f t="shared" si="20"/>
        <v/>
      </c>
      <c r="Z53" s="49" t="str">
        <f t="shared" si="21"/>
        <v/>
      </c>
      <c r="AA53" s="49" t="str">
        <f t="shared" si="21"/>
        <v/>
      </c>
      <c r="AB53" s="49">
        <f t="shared" si="21"/>
        <v>1.3027521977919848E-2</v>
      </c>
      <c r="AC53" s="90" t="str">
        <f t="shared" si="21"/>
        <v/>
      </c>
      <c r="AE53"/>
      <c r="AF53"/>
      <c r="AH53"/>
      <c r="AI53"/>
      <c r="AJ53"/>
      <c r="AK53"/>
    </row>
    <row r="54" spans="1:37" x14ac:dyDescent="0.35">
      <c r="A54" s="45">
        <v>51547</v>
      </c>
      <c r="B54" s="46">
        <v>2.1250000000000002E-2</v>
      </c>
      <c r="C54" s="2">
        <v>30</v>
      </c>
      <c r="D54" s="1">
        <f t="shared" si="1"/>
        <v>40589</v>
      </c>
      <c r="E54" s="47">
        <f>IF(A54&lt;G$11,"",ROUND((VLOOKUP(YEAR(EDATE(D54,-2)),CPI!$A:$M,MONTH(EDATE(D54,-2))+1,FALSE)*(DAY(D54)-1)+VLOOKUP(YEAR(EDATE(D54,-3)),CPI!$A:$M,MONTH(EDATE(D54,-3))+1,FALSE)*(DAY(EOMONTH(D54,0))-DAY(D54)+1))/DAY(EOMONTH(D54,0)),5))</f>
        <v>218.99100000000001</v>
      </c>
      <c r="F54" s="48">
        <f>IF(A54&lt;G$11,"",VLOOKUP($A54+$B54,Quotes!$A:$AAO,$G$8,FALSE))</f>
        <v>23986.016</v>
      </c>
      <c r="G54" s="47">
        <f t="shared" si="2"/>
        <v>1.4801599999999999</v>
      </c>
      <c r="H54" s="50">
        <f t="shared" si="3"/>
        <v>35503.141442559994</v>
      </c>
      <c r="I54" s="47">
        <f>IF(A54&lt;G$11,"",VLOOKUP($A54+$B54,Quotes!$A:$AAO,$G$8+2,FALSE))</f>
        <v>99.6875</v>
      </c>
      <c r="J54" s="50">
        <f t="shared" si="41"/>
        <v>35392.194125551992</v>
      </c>
      <c r="K54" s="49">
        <f>IF(A54&lt;G$11,"",VLOOKUP($A54+$B54,Quotes!$A:$AAO,$G$8+3,FALSE))</f>
        <v>2.1480000000000003E-2</v>
      </c>
      <c r="L54" s="226">
        <f t="shared" si="5"/>
        <v>2041</v>
      </c>
      <c r="M54" s="224">
        <f t="shared" si="19"/>
        <v>760.22432981685688</v>
      </c>
      <c r="N54" s="114">
        <f t="shared" si="42"/>
        <v>0.52717391304347827</v>
      </c>
      <c r="O54" s="48">
        <f t="shared" si="43"/>
        <v>30</v>
      </c>
      <c r="P54" s="63">
        <f t="shared" si="44"/>
        <v>100.20299449716902</v>
      </c>
      <c r="Q54" s="64">
        <f t="shared" si="45"/>
        <v>100.20170112656541</v>
      </c>
      <c r="R54" s="64">
        <f t="shared" si="46"/>
        <v>77.7909011674639</v>
      </c>
      <c r="S54" s="64">
        <f t="shared" si="47"/>
        <v>13.046227549310601</v>
      </c>
      <c r="T54" s="64">
        <f t="shared" si="48"/>
        <v>12.907599926104242</v>
      </c>
      <c r="U54" s="64">
        <f t="shared" si="49"/>
        <v>15.263586956521738</v>
      </c>
      <c r="V54" s="64">
        <f t="shared" si="50"/>
        <v>12.907504512216228</v>
      </c>
      <c r="W54" s="64">
        <f t="shared" si="51"/>
        <v>13.046131110677431</v>
      </c>
      <c r="X54" s="68">
        <f t="shared" si="52"/>
        <v>0.22366690179442006</v>
      </c>
      <c r="Y54" s="91" t="str">
        <f t="shared" si="20"/>
        <v/>
      </c>
      <c r="Z54" s="49" t="str">
        <f t="shared" si="21"/>
        <v/>
      </c>
      <c r="AA54" s="49" t="str">
        <f t="shared" si="21"/>
        <v/>
      </c>
      <c r="AB54" s="49">
        <f t="shared" si="21"/>
        <v>2.0139069823161323E-2</v>
      </c>
      <c r="AC54" s="90">
        <f t="shared" si="21"/>
        <v>0.11801887799379358</v>
      </c>
      <c r="AE54"/>
      <c r="AF54"/>
      <c r="AH54"/>
      <c r="AI54"/>
      <c r="AJ54"/>
      <c r="AK54"/>
    </row>
    <row r="55" spans="1:37" x14ac:dyDescent="0.35">
      <c r="A55" s="45">
        <v>51912</v>
      </c>
      <c r="B55" s="46">
        <v>7.4999999999999997E-3</v>
      </c>
      <c r="C55" s="2">
        <v>30</v>
      </c>
      <c r="D55" s="1">
        <f t="shared" si="1"/>
        <v>40954</v>
      </c>
      <c r="E55" s="47">
        <f>IF(A55&lt;G$11,"",ROUND((VLOOKUP(YEAR(EDATE(D55,-2)),CPI!$A:$M,MONTH(EDATE(D55,-2))+1,FALSE)*(DAY(D55)-1)+VLOOKUP(YEAR(EDATE(D55,-3)),CPI!$A:$M,MONTH(EDATE(D55,-3))+1,FALSE)*(DAY(EOMONTH(D55,0))-DAY(D55)+1))/DAY(EOMONTH(D55,0)),5))</f>
        <v>225.96062000000001</v>
      </c>
      <c r="F55" s="48">
        <f>IF(A55&lt;G$11,"",VLOOKUP($A55+$B55,Quotes!$A:$AAO,$G$8,FALSE))</f>
        <v>23127.868999999999</v>
      </c>
      <c r="G55" s="47">
        <f t="shared" si="2"/>
        <v>1.4345000000000001</v>
      </c>
      <c r="H55" s="50">
        <f t="shared" si="3"/>
        <v>33176.928080500002</v>
      </c>
      <c r="I55" s="47">
        <f>IF(A55&lt;G$11,"",VLOOKUP($A55+$B55,Quotes!$A:$AAO,$G$8+2,FALSE))</f>
        <v>79.406249999999986</v>
      </c>
      <c r="J55" s="50">
        <f t="shared" si="41"/>
        <v>26344.554453922025</v>
      </c>
      <c r="K55" s="49">
        <f>IF(A55&lt;G$11,"",VLOOKUP($A55+$B55,Quotes!$A:$AAO,$G$8+3,FALSE))</f>
        <v>2.2709999999999998E-2</v>
      </c>
      <c r="L55" s="226">
        <f t="shared" si="5"/>
        <v>2042</v>
      </c>
      <c r="M55" s="224">
        <f t="shared" si="19"/>
        <v>598.28483164856914</v>
      </c>
      <c r="N55" s="114">
        <f t="shared" si="42"/>
        <v>0.52717391304347827</v>
      </c>
      <c r="O55" s="48">
        <f t="shared" si="43"/>
        <v>32</v>
      </c>
      <c r="P55" s="63">
        <f t="shared" si="44"/>
        <v>79.590451483894682</v>
      </c>
      <c r="Q55" s="64">
        <f t="shared" si="45"/>
        <v>79.589258510513275</v>
      </c>
      <c r="R55" s="64">
        <f t="shared" si="46"/>
        <v>59.197988526837413</v>
      </c>
      <c r="S55" s="64">
        <f t="shared" si="47"/>
        <v>15.159222607862899</v>
      </c>
      <c r="T55" s="64">
        <f t="shared" si="48"/>
        <v>14.989022260099469</v>
      </c>
      <c r="U55" s="64">
        <f t="shared" si="49"/>
        <v>16.263586956521738</v>
      </c>
      <c r="V55" s="64">
        <f t="shared" si="50"/>
        <v>14.988900793544424</v>
      </c>
      <c r="W55" s="64">
        <f t="shared" si="51"/>
        <v>15.159099762055121</v>
      </c>
      <c r="X55" s="68">
        <f t="shared" si="52"/>
        <v>0.25621745544669683</v>
      </c>
      <c r="Y55" s="91" t="str">
        <f t="shared" si="20"/>
        <v/>
      </c>
      <c r="Z55" s="49" t="str">
        <f t="shared" si="21"/>
        <v/>
      </c>
      <c r="AA55" s="49" t="str">
        <f t="shared" si="21"/>
        <v/>
      </c>
      <c r="AB55" s="49">
        <f t="shared" si="21"/>
        <v>1.4990729869007138E-2</v>
      </c>
      <c r="AC55" s="90">
        <f t="shared" si="21"/>
        <v>8.7848601498644249E-2</v>
      </c>
      <c r="AE55"/>
      <c r="AF55"/>
      <c r="AH55"/>
      <c r="AI55"/>
      <c r="AJ55"/>
      <c r="AK55"/>
    </row>
    <row r="56" spans="1:37" x14ac:dyDescent="0.35">
      <c r="A56" s="45">
        <v>52277</v>
      </c>
      <c r="B56" s="46">
        <v>6.2500000000000003E-3</v>
      </c>
      <c r="C56" s="2">
        <v>30</v>
      </c>
      <c r="D56" s="1">
        <f t="shared" si="1"/>
        <v>41320</v>
      </c>
      <c r="E56" s="47">
        <f>IF(A56&lt;G$11,"",ROUND((VLOOKUP(YEAR(EDATE(D56,-2)),CPI!$A:$M,MONTH(EDATE(D56,-2))+1,FALSE)*(DAY(D56)-1)+VLOOKUP(YEAR(EDATE(D56,-3)),CPI!$A:$M,MONTH(EDATE(D56,-3))+1,FALSE)*(DAY(EOMONTH(D56,0))-DAY(D56)+1))/DAY(EOMONTH(D56,0)),5))</f>
        <v>229.911</v>
      </c>
      <c r="F56" s="48">
        <f>IF(A56&lt;G$11,"",VLOOKUP($A56+$B56,Quotes!$A:$AAO,$G$8,FALSE))</f>
        <v>23000.062000000002</v>
      </c>
      <c r="G56" s="47">
        <f t="shared" si="2"/>
        <v>1.40985</v>
      </c>
      <c r="H56" s="50">
        <f t="shared" si="3"/>
        <v>32426.637410700005</v>
      </c>
      <c r="I56" s="47">
        <f>IF(A56&lt;G$11,"",VLOOKUP($A56+$B56,Quotes!$A:$AAO,$G$8+2,FALSE))</f>
        <v>76.062499999999986</v>
      </c>
      <c r="J56" s="50">
        <f t="shared" si="41"/>
        <v>24664.511080513686</v>
      </c>
      <c r="K56" s="49">
        <f>IF(A56&lt;G$11,"",VLOOKUP($A56+$B56,Quotes!$A:$AAO,$G$8+3,FALSE))</f>
        <v>2.3140000000000001E-2</v>
      </c>
      <c r="L56" s="226">
        <f t="shared" si="5"/>
        <v>2043</v>
      </c>
      <c r="M56" s="224">
        <f t="shared" si="19"/>
        <v>570.73678640308674</v>
      </c>
      <c r="N56" s="114">
        <f t="shared" si="42"/>
        <v>0.52717391304347827</v>
      </c>
      <c r="O56" s="48">
        <f t="shared" si="43"/>
        <v>34</v>
      </c>
      <c r="P56" s="63">
        <f t="shared" si="44"/>
        <v>76.221678141044748</v>
      </c>
      <c r="Q56" s="64">
        <f t="shared" si="45"/>
        <v>76.220458180099669</v>
      </c>
      <c r="R56" s="64">
        <f t="shared" si="46"/>
        <v>55.56317224389408</v>
      </c>
      <c r="S56" s="64">
        <f t="shared" si="47"/>
        <v>16.190754926455938</v>
      </c>
      <c r="T56" s="64">
        <f t="shared" si="48"/>
        <v>16.00557047604806</v>
      </c>
      <c r="U56" s="64">
        <f t="shared" si="49"/>
        <v>17.263586956521738</v>
      </c>
      <c r="V56" s="64">
        <f t="shared" si="50"/>
        <v>16.005432769694572</v>
      </c>
      <c r="W56" s="64">
        <f t="shared" si="51"/>
        <v>16.190615626839939</v>
      </c>
      <c r="X56" s="68">
        <f t="shared" si="52"/>
        <v>0.27103189540019101</v>
      </c>
      <c r="Y56" s="91" t="str">
        <f t="shared" si="20"/>
        <v/>
      </c>
      <c r="Z56" s="49" t="str">
        <f t="shared" ref="Z56:AC77" si="70">IF(AND($A56&gt;=$G$11,Z$4&lt;$A56,$A56&lt;=Z$5),$J56/1000/Z$6,"")</f>
        <v/>
      </c>
      <c r="AA56" s="49" t="str">
        <f t="shared" si="70"/>
        <v/>
      </c>
      <c r="AB56" s="49">
        <f t="shared" si="70"/>
        <v>1.4034741927627074E-2</v>
      </c>
      <c r="AC56" s="90">
        <f t="shared" si="70"/>
        <v>8.2246325663267006E-2</v>
      </c>
      <c r="AE56"/>
      <c r="AF56"/>
      <c r="AH56"/>
      <c r="AI56"/>
      <c r="AJ56"/>
      <c r="AK56"/>
    </row>
    <row r="57" spans="1:37" x14ac:dyDescent="0.35">
      <c r="A57" s="45">
        <v>52642</v>
      </c>
      <c r="B57" s="46">
        <v>1.375E-2</v>
      </c>
      <c r="C57" s="2">
        <v>30</v>
      </c>
      <c r="D57" s="1">
        <f t="shared" si="1"/>
        <v>41685</v>
      </c>
      <c r="E57" s="47">
        <f>IF(A57&lt;G$11,"",ROUND((VLOOKUP(YEAR(EDATE(D57,-2)),CPI!$A:$M,MONTH(EDATE(D57,-2))+1,FALSE)*(DAY(D57)-1)+VLOOKUP(YEAR(EDATE(D57,-3)),CPI!$A:$M,MONTH(EDATE(D57,-3))+1,FALSE)*(DAY(EOMONTH(D57,0))-DAY(D57)+1))/DAY(EOMONTH(D57,0)),5))</f>
        <v>233.059</v>
      </c>
      <c r="F57" s="48">
        <f>IF(A57&lt;G$11,"",VLOOKUP($A57+$B57,Quotes!$A:$AAO,$G$8,FALSE))</f>
        <v>23025.326000000001</v>
      </c>
      <c r="G57" s="47">
        <f t="shared" si="2"/>
        <v>1.3908100000000001</v>
      </c>
      <c r="H57" s="50">
        <f t="shared" si="3"/>
        <v>32023.853654060003</v>
      </c>
      <c r="I57" s="47">
        <f>IF(A57&lt;G$11,"",VLOOKUP($A57+$B57,Quotes!$A:$AAO,$G$8+2,FALSE))</f>
        <v>85.656249999999986</v>
      </c>
      <c r="J57" s="50">
        <f t="shared" si="41"/>
        <v>27430.432145555769</v>
      </c>
      <c r="K57" s="49">
        <f>IF(A57&lt;G$11,"",VLOOKUP($A57+$B57,Quotes!$A:$AAO,$G$8+3,FALSE))</f>
        <v>2.3439999999999999E-2</v>
      </c>
      <c r="L57" s="226">
        <f t="shared" si="5"/>
        <v>2044</v>
      </c>
      <c r="M57" s="224">
        <f t="shared" si="19"/>
        <v>642.96932949182724</v>
      </c>
      <c r="N57" s="114">
        <f t="shared" si="42"/>
        <v>0.52717391304347827</v>
      </c>
      <c r="O57" s="48">
        <f t="shared" si="43"/>
        <v>36</v>
      </c>
      <c r="P57" s="63">
        <f t="shared" si="44"/>
        <v>85.994593422109915</v>
      </c>
      <c r="Q57" s="64">
        <f t="shared" si="45"/>
        <v>85.993238340396687</v>
      </c>
      <c r="R57" s="64">
        <f t="shared" si="46"/>
        <v>63.154396670047369</v>
      </c>
      <c r="S57" s="64">
        <f t="shared" si="47"/>
        <v>15.942576959802773</v>
      </c>
      <c r="T57" s="64">
        <f t="shared" si="48"/>
        <v>15.75789443700112</v>
      </c>
      <c r="U57" s="64">
        <f t="shared" si="49"/>
        <v>18.263586956521738</v>
      </c>
      <c r="V57" s="64">
        <f t="shared" si="50"/>
        <v>15.757754752931952</v>
      </c>
      <c r="W57" s="64">
        <f t="shared" si="51"/>
        <v>15.942435638636313</v>
      </c>
      <c r="X57" s="68">
        <f t="shared" si="52"/>
        <v>0.26560038071172676</v>
      </c>
      <c r="Y57" s="91" t="str">
        <f t="shared" si="20"/>
        <v/>
      </c>
      <c r="Z57" s="49" t="str">
        <f t="shared" si="70"/>
        <v/>
      </c>
      <c r="AA57" s="49" t="str">
        <f t="shared" si="70"/>
        <v/>
      </c>
      <c r="AB57" s="49">
        <f t="shared" si="70"/>
        <v>1.5608622237410396E-2</v>
      </c>
      <c r="AC57" s="90">
        <f t="shared" si="70"/>
        <v>9.1469571319008736E-2</v>
      </c>
      <c r="AE57"/>
      <c r="AF57"/>
      <c r="AH57"/>
      <c r="AI57"/>
      <c r="AJ57"/>
      <c r="AK57"/>
    </row>
    <row r="58" spans="1:37" x14ac:dyDescent="0.35">
      <c r="A58" s="45">
        <v>53008</v>
      </c>
      <c r="B58" s="46">
        <v>7.4999999999999997E-3</v>
      </c>
      <c r="C58" s="2">
        <v>30</v>
      </c>
      <c r="D58" s="1">
        <f t="shared" si="1"/>
        <v>42050</v>
      </c>
      <c r="E58" s="47">
        <f>IF(A58&lt;G$11,"",ROUND((VLOOKUP(YEAR(EDATE(D58,-2)),CPI!$A:$M,MONTH(EDATE(D58,-2))+1,FALSE)*(DAY(D58)-1)+VLOOKUP(YEAR(EDATE(D58,-3)),CPI!$A:$M,MONTH(EDATE(D58,-3))+1,FALSE)*(DAY(EOMONTH(D58,0))-DAY(D58)+1))/DAY(EOMONTH(D58,0)),5))</f>
        <v>235.48150000000001</v>
      </c>
      <c r="F58" s="48">
        <f>IF(A58&lt;G$11,"",VLOOKUP($A58+$B58,Quotes!$A:$AAO,$G$8,FALSE))</f>
        <v>23000.005000000001</v>
      </c>
      <c r="G58" s="47">
        <f t="shared" si="2"/>
        <v>1.3765000000000001</v>
      </c>
      <c r="H58" s="50">
        <f t="shared" si="3"/>
        <v>31659.506882500002</v>
      </c>
      <c r="I58" s="47">
        <f>IF(A58&lt;G$11,"",VLOOKUP($A58+$B58,Quotes!$A:$AAO,$G$8+2,FALSE))</f>
        <v>74.812500000000014</v>
      </c>
      <c r="J58" s="50">
        <f t="shared" si="41"/>
        <v>23685.268586470316</v>
      </c>
      <c r="K58" s="49">
        <f>IF(A58&lt;G$11,"",VLOOKUP($A58+$B58,Quotes!$A:$AAO,$G$8+3,FALSE))</f>
        <v>2.3879999999999998E-2</v>
      </c>
      <c r="L58" s="226">
        <f t="shared" si="5"/>
        <v>2045</v>
      </c>
      <c r="M58" s="224">
        <f t="shared" si="19"/>
        <v>565.6042138449111</v>
      </c>
      <c r="N58" s="114">
        <f t="shared" si="42"/>
        <v>0.52717391304347827</v>
      </c>
      <c r="O58" s="48">
        <f t="shared" si="43"/>
        <v>38</v>
      </c>
      <c r="P58" s="63">
        <f t="shared" si="44"/>
        <v>75.002920800403004</v>
      </c>
      <c r="Q58" s="64">
        <f t="shared" si="45"/>
        <v>75.001611566979932</v>
      </c>
      <c r="R58" s="64">
        <f t="shared" si="46"/>
        <v>53.1987702435081</v>
      </c>
      <c r="S58" s="64">
        <f t="shared" si="47"/>
        <v>17.664355478930339</v>
      </c>
      <c r="T58" s="64">
        <f t="shared" si="48"/>
        <v>17.455931654969998</v>
      </c>
      <c r="U58" s="64">
        <f t="shared" si="49"/>
        <v>19.263586956521738</v>
      </c>
      <c r="V58" s="64">
        <f t="shared" si="50"/>
        <v>17.455765843554794</v>
      </c>
      <c r="W58" s="64">
        <f t="shared" si="51"/>
        <v>17.664187687726837</v>
      </c>
      <c r="X58" s="68">
        <f t="shared" si="52"/>
        <v>0.29071068598674821</v>
      </c>
      <c r="Y58" s="91" t="str">
        <f t="shared" si="20"/>
        <v/>
      </c>
      <c r="Z58" s="49" t="str">
        <f t="shared" si="70"/>
        <v/>
      </c>
      <c r="AA58" s="49" t="str">
        <f t="shared" si="70"/>
        <v/>
      </c>
      <c r="AB58" s="49">
        <f t="shared" si="70"/>
        <v>1.3477527732559462E-2</v>
      </c>
      <c r="AC58" s="90">
        <f t="shared" si="70"/>
        <v>7.8980941776049751E-2</v>
      </c>
      <c r="AE58"/>
      <c r="AF58"/>
      <c r="AH58"/>
      <c r="AI58"/>
      <c r="AJ58"/>
      <c r="AK58"/>
    </row>
    <row r="59" spans="1:37" x14ac:dyDescent="0.35">
      <c r="A59" s="45">
        <v>53373</v>
      </c>
      <c r="B59" s="46">
        <v>0.01</v>
      </c>
      <c r="C59" s="2">
        <v>30</v>
      </c>
      <c r="D59" s="1">
        <f t="shared" si="1"/>
        <v>42415</v>
      </c>
      <c r="E59" s="47">
        <f>IF(A59&lt;G$11,"",ROUND((VLOOKUP(YEAR(EDATE(D59,-2)),CPI!$A:$M,MONTH(EDATE(D59,-2))+1,FALSE)*(DAY(D59)-1)+VLOOKUP(YEAR(EDATE(D59,-3)),CPI!$A:$M,MONTH(EDATE(D59,-3))+1,FALSE)*(DAY(EOMONTH(D59,0))-DAY(D59)+1))/DAY(EOMONTH(D59,0)),5))</f>
        <v>236.94448</v>
      </c>
      <c r="F59" s="48">
        <f>IF(A59&lt;G$11,"",VLOOKUP($A59+$B59,Quotes!$A:$AAO,$G$8,FALSE))</f>
        <v>20377.717000000001</v>
      </c>
      <c r="G59" s="47">
        <f t="shared" si="2"/>
        <v>1.3680000000000001</v>
      </c>
      <c r="H59" s="50">
        <f t="shared" si="3"/>
        <v>27876.716856000003</v>
      </c>
      <c r="I59" s="47">
        <f>IF(A59&lt;G$11,"",VLOOKUP($A59+$B59,Quotes!$A:$AAO,$G$8+2,FALSE))</f>
        <v>77.34375</v>
      </c>
      <c r="J59" s="50">
        <f t="shared" si="41"/>
        <v>21560.898193312503</v>
      </c>
      <c r="K59" s="49">
        <f>IF(A59&lt;G$11,"",VLOOKUP($A59+$B59,Quotes!$A:$AAO,$G$8+3,FALSE))</f>
        <v>2.4199999999999999E-2</v>
      </c>
      <c r="L59" s="226">
        <f t="shared" si="5"/>
        <v>2046</v>
      </c>
      <c r="M59" s="224">
        <f t="shared" si="19"/>
        <v>521.77373627816257</v>
      </c>
      <c r="N59" s="114">
        <f t="shared" si="42"/>
        <v>0.52717391304347827</v>
      </c>
      <c r="O59" s="48">
        <f t="shared" si="43"/>
        <v>40</v>
      </c>
      <c r="P59" s="63">
        <f t="shared" si="44"/>
        <v>77.597774244164938</v>
      </c>
      <c r="Q59" s="64">
        <f t="shared" si="45"/>
        <v>77.596393894804635</v>
      </c>
      <c r="R59" s="64">
        <f t="shared" si="46"/>
        <v>54.764844753952609</v>
      </c>
      <c r="S59" s="64">
        <f t="shared" si="47"/>
        <v>18.003936214019781</v>
      </c>
      <c r="T59" s="64">
        <f t="shared" si="48"/>
        <v>17.788693028376425</v>
      </c>
      <c r="U59" s="64">
        <f t="shared" si="49"/>
        <v>20.263586956521738</v>
      </c>
      <c r="V59" s="64">
        <f t="shared" si="50"/>
        <v>17.788517438166451</v>
      </c>
      <c r="W59" s="64">
        <f t="shared" si="51"/>
        <v>18.003758499168264</v>
      </c>
      <c r="X59" s="68">
        <f t="shared" si="52"/>
        <v>0.29424722181292817</v>
      </c>
      <c r="Y59" s="91" t="str">
        <f t="shared" si="20"/>
        <v/>
      </c>
      <c r="Z59" s="49" t="str">
        <f t="shared" si="70"/>
        <v/>
      </c>
      <c r="AA59" s="49" t="str">
        <f t="shared" si="70"/>
        <v/>
      </c>
      <c r="AB59" s="49">
        <f t="shared" si="70"/>
        <v>1.2268706275311238E-2</v>
      </c>
      <c r="AC59" s="90">
        <f t="shared" si="70"/>
        <v>7.1897012213663264E-2</v>
      </c>
      <c r="AE59"/>
      <c r="AF59"/>
      <c r="AH59"/>
      <c r="AI59"/>
      <c r="AJ59"/>
      <c r="AK59"/>
    </row>
    <row r="60" spans="1:37" x14ac:dyDescent="0.35">
      <c r="A60" s="45">
        <v>53738</v>
      </c>
      <c r="B60" s="46">
        <v>8.7500000000000008E-3</v>
      </c>
      <c r="C60" s="2">
        <v>30</v>
      </c>
      <c r="D60" s="1">
        <f t="shared" si="1"/>
        <v>42781</v>
      </c>
      <c r="E60" s="47">
        <f>IF(A60&lt;G$11,"",ROUND((VLOOKUP(YEAR(EDATE(D60,-2)),CPI!$A:$M,MONTH(EDATE(D60,-2))+1,FALSE)*(DAY(D60)-1)+VLOOKUP(YEAR(EDATE(D60,-3)),CPI!$A:$M,MONTH(EDATE(D60,-3))+1,FALSE)*(DAY(EOMONTH(D60,0))-DAY(D60)+1))/DAY(EOMONTH(D60,0)),5))</f>
        <v>241.39250000000001</v>
      </c>
      <c r="F60" s="48">
        <f>IF(A60&lt;G$11,"",VLOOKUP($A60+$B60,Quotes!$A:$AAO,$G$8,FALSE))</f>
        <v>18703.669000000002</v>
      </c>
      <c r="G60" s="47">
        <f t="shared" si="2"/>
        <v>1.3428</v>
      </c>
      <c r="H60" s="50">
        <f t="shared" si="3"/>
        <v>25115.286733200002</v>
      </c>
      <c r="I60" s="47">
        <f>IF(A60&lt;G$11,"",VLOOKUP($A60+$B60,Quotes!$A:$AAO,$G$8+2,FALSE))</f>
        <v>74.09375</v>
      </c>
      <c r="J60" s="50">
        <f t="shared" si="41"/>
        <v>18608.857763880376</v>
      </c>
      <c r="K60" s="49">
        <f>IF(A60&lt;G$11,"",VLOOKUP($A60+$B60,Quotes!$A:$AAO,$G$8+3,FALSE))</f>
        <v>2.445E-2</v>
      </c>
      <c r="L60" s="226">
        <f t="shared" si="5"/>
        <v>2047</v>
      </c>
      <c r="M60" s="224">
        <f t="shared" si="19"/>
        <v>454.9865723268752</v>
      </c>
      <c r="N60" s="114">
        <f t="shared" si="42"/>
        <v>0.52717391304347827</v>
      </c>
      <c r="O60" s="48">
        <f t="shared" si="43"/>
        <v>42</v>
      </c>
      <c r="P60" s="63">
        <f t="shared" si="44"/>
        <v>74.293837028982722</v>
      </c>
      <c r="Q60" s="64">
        <f t="shared" si="45"/>
        <v>74.292441791615502</v>
      </c>
      <c r="R60" s="64">
        <f t="shared" si="46"/>
        <v>51.427011870037816</v>
      </c>
      <c r="S60" s="64">
        <f t="shared" si="47"/>
        <v>19.009770455711383</v>
      </c>
      <c r="T60" s="64">
        <f t="shared" si="48"/>
        <v>18.78018272193572</v>
      </c>
      <c r="U60" s="64">
        <f t="shared" si="49"/>
        <v>21.263586956521738</v>
      </c>
      <c r="V60" s="64">
        <f t="shared" si="50"/>
        <v>18.779987991157654</v>
      </c>
      <c r="W60" s="64">
        <f t="shared" si="51"/>
        <v>19.009573344349555</v>
      </c>
      <c r="X60" s="68">
        <f t="shared" si="52"/>
        <v>0.30778899129983472</v>
      </c>
      <c r="Y60" s="91" t="str">
        <f t="shared" si="20"/>
        <v/>
      </c>
      <c r="Z60" s="49" t="str">
        <f t="shared" si="70"/>
        <v/>
      </c>
      <c r="AA60" s="49" t="str">
        <f t="shared" si="70"/>
        <v/>
      </c>
      <c r="AB60" s="49">
        <f t="shared" si="70"/>
        <v>1.0588919254528402E-2</v>
      </c>
      <c r="AC60" s="90">
        <f t="shared" si="70"/>
        <v>6.205313257065561E-2</v>
      </c>
      <c r="AE60"/>
      <c r="AF60"/>
      <c r="AH60"/>
      <c r="AI60"/>
      <c r="AJ60"/>
      <c r="AK60"/>
    </row>
    <row r="61" spans="1:37" x14ac:dyDescent="0.35">
      <c r="A61" s="45">
        <v>54103</v>
      </c>
      <c r="B61" s="46">
        <v>0.01</v>
      </c>
      <c r="C61" s="2">
        <v>30</v>
      </c>
      <c r="D61" s="1">
        <f t="shared" si="1"/>
        <v>43146</v>
      </c>
      <c r="E61" s="47">
        <f>IF(A61&lt;G$11,"",ROUND((VLOOKUP(YEAR(EDATE(D61,-2)),CPI!$A:$M,MONTH(EDATE(D61,-2))+1,FALSE)*(DAY(D61)-1)+VLOOKUP(YEAR(EDATE(D61,-3)),CPI!$A:$M,MONTH(EDATE(D61,-3))+1,FALSE)*(DAY(EOMONTH(D61,0))-DAY(D61)+1))/DAY(EOMONTH(D61,0)),5))</f>
        <v>246.59649999999999</v>
      </c>
      <c r="F61" s="48">
        <f>IF(A61&lt;G$11,"",VLOOKUP($A61+$B61,Quotes!$A:$AAO,$G$8,FALSE))</f>
        <v>18706.580999999998</v>
      </c>
      <c r="G61" s="47">
        <f t="shared" si="2"/>
        <v>1.31446</v>
      </c>
      <c r="H61" s="50">
        <f t="shared" si="3"/>
        <v>24589.052461259998</v>
      </c>
      <c r="I61" s="47">
        <f>IF(A61&lt;G$11,"",VLOOKUP($A61+$B61,Quotes!$A:$AAO,$G$8+2,FALSE))</f>
        <v>75.125000000000014</v>
      </c>
      <c r="J61" s="50">
        <f t="shared" si="41"/>
        <v>18472.525661521577</v>
      </c>
      <c r="K61" s="49">
        <f>IF(A61&lt;G$11,"",VLOOKUP($A61+$B61,Quotes!$A:$AAO,$G$8+3,FALSE))</f>
        <v>2.4569999999999998E-2</v>
      </c>
      <c r="L61" s="226">
        <f t="shared" si="5"/>
        <v>2048</v>
      </c>
      <c r="M61" s="224">
        <f t="shared" si="19"/>
        <v>453.86995550358512</v>
      </c>
      <c r="N61" s="114">
        <f t="shared" si="42"/>
        <v>0.52717391304347827</v>
      </c>
      <c r="O61" s="48">
        <f t="shared" si="43"/>
        <v>44</v>
      </c>
      <c r="P61" s="63">
        <f t="shared" si="44"/>
        <v>75.365582460442184</v>
      </c>
      <c r="Q61" s="64">
        <f t="shared" si="45"/>
        <v>75.36413049105191</v>
      </c>
      <c r="R61" s="64">
        <f t="shared" si="46"/>
        <v>51.741530600833237</v>
      </c>
      <c r="S61" s="64">
        <f t="shared" si="47"/>
        <v>19.502571534913784</v>
      </c>
      <c r="T61" s="64">
        <f t="shared" si="48"/>
        <v>19.265890075338252</v>
      </c>
      <c r="U61" s="64">
        <f t="shared" si="49"/>
        <v>22.263586956521738</v>
      </c>
      <c r="V61" s="64">
        <f t="shared" si="50"/>
        <v>19.26568259502659</v>
      </c>
      <c r="W61" s="64">
        <f t="shared" si="51"/>
        <v>19.502361505706492</v>
      </c>
      <c r="X61" s="68">
        <f t="shared" si="52"/>
        <v>0.31345942124190063</v>
      </c>
      <c r="Y61" s="91" t="str">
        <f t="shared" si="20"/>
        <v/>
      </c>
      <c r="Z61" s="49" t="str">
        <f t="shared" si="70"/>
        <v/>
      </c>
      <c r="AA61" s="49" t="str">
        <f t="shared" si="70"/>
        <v/>
      </c>
      <c r="AB61" s="49">
        <f t="shared" si="70"/>
        <v>1.051134277767019E-2</v>
      </c>
      <c r="AC61" s="90">
        <f t="shared" si="70"/>
        <v>6.1598519282260913E-2</v>
      </c>
      <c r="AE61"/>
      <c r="AF61"/>
      <c r="AH61"/>
      <c r="AI61"/>
      <c r="AJ61"/>
      <c r="AK61"/>
    </row>
    <row r="62" spans="1:37" x14ac:dyDescent="0.35">
      <c r="A62" s="45">
        <v>54469</v>
      </c>
      <c r="B62" s="46">
        <v>0.01</v>
      </c>
      <c r="C62" s="2">
        <v>30</v>
      </c>
      <c r="D62" s="1">
        <f t="shared" si="1"/>
        <v>43511</v>
      </c>
      <c r="E62" s="47">
        <f>IF(A62&lt;G$11,"",ROUND((VLOOKUP(YEAR(EDATE(D62,-2)),CPI!$A:$M,MONTH(EDATE(D62,-2))+1,FALSE)*(DAY(D62)-1)+VLOOKUP(YEAR(EDATE(D62,-3)),CPI!$A:$M,MONTH(EDATE(D62,-3))+1,FALSE)*(DAY(EOMONTH(D62,0))-DAY(D62)+1))/DAY(EOMONTH(D62,0)),5))</f>
        <v>251.63550000000001</v>
      </c>
      <c r="F62" s="48">
        <f>IF(A62&lt;G$11,"",VLOOKUP($A62+$B62,Quotes!$A:$AAO,$G$8,FALSE))</f>
        <v>15385.028</v>
      </c>
      <c r="G62" s="47">
        <f t="shared" si="2"/>
        <v>1.2881400000000001</v>
      </c>
      <c r="H62" s="50">
        <f t="shared" si="3"/>
        <v>19818.069967920001</v>
      </c>
      <c r="I62" s="47">
        <f>IF(A62&lt;G$11,"",VLOOKUP($A62+$B62,Quotes!$A:$AAO,$G$8+2,FALSE))</f>
        <v>74.031250000000014</v>
      </c>
      <c r="J62" s="50">
        <f t="shared" si="41"/>
        <v>14671.564923125778</v>
      </c>
      <c r="K62" s="49">
        <f>IF(A62&lt;G$11,"",VLOOKUP($A62+$B62,Quotes!$A:$AAO,$G$8+3,FALSE))</f>
        <v>2.4760000000000001E-2</v>
      </c>
      <c r="L62" s="226">
        <f t="shared" si="5"/>
        <v>2049</v>
      </c>
      <c r="M62" s="224">
        <f t="shared" si="19"/>
        <v>363.26794749659427</v>
      </c>
      <c r="N62" s="114">
        <f t="shared" si="42"/>
        <v>0.52717391304347827</v>
      </c>
      <c r="O62" s="48">
        <f t="shared" si="43"/>
        <v>46</v>
      </c>
      <c r="P62" s="63">
        <f t="shared" si="44"/>
        <v>74.252458577384701</v>
      </c>
      <c r="Q62" s="64">
        <f t="shared" si="45"/>
        <v>74.25097482003325</v>
      </c>
      <c r="R62" s="64">
        <f t="shared" si="46"/>
        <v>50.306701875820451</v>
      </c>
      <c r="S62" s="64">
        <f t="shared" si="47"/>
        <v>20.230213807685352</v>
      </c>
      <c r="T62" s="64">
        <f t="shared" si="48"/>
        <v>19.982826416647256</v>
      </c>
      <c r="U62" s="64">
        <f t="shared" si="49"/>
        <v>23.263586956521738</v>
      </c>
      <c r="V62" s="64">
        <f t="shared" si="50"/>
        <v>19.982602325607779</v>
      </c>
      <c r="W62" s="64">
        <f t="shared" si="51"/>
        <v>20.229986942398803</v>
      </c>
      <c r="X62" s="68">
        <f t="shared" si="52"/>
        <v>0.32249109538384335</v>
      </c>
      <c r="Y62" s="91" t="str">
        <f t="shared" si="20"/>
        <v/>
      </c>
      <c r="Z62" s="49" t="str">
        <f t="shared" si="70"/>
        <v/>
      </c>
      <c r="AA62" s="49" t="str">
        <f t="shared" si="70"/>
        <v/>
      </c>
      <c r="AB62" s="49">
        <f t="shared" si="70"/>
        <v>8.348498240987939E-3</v>
      </c>
      <c r="AC62" s="90">
        <f t="shared" si="70"/>
        <v>4.8923828358816028E-2</v>
      </c>
      <c r="AE62"/>
      <c r="AF62"/>
      <c r="AH62"/>
      <c r="AI62"/>
      <c r="AJ62"/>
      <c r="AK62"/>
    </row>
    <row r="63" spans="1:37" x14ac:dyDescent="0.35">
      <c r="A63" s="45">
        <v>54834</v>
      </c>
      <c r="B63" s="46">
        <v>2.5000000000000001E-3</v>
      </c>
      <c r="C63" s="2">
        <v>30</v>
      </c>
      <c r="D63" s="1">
        <f t="shared" si="1"/>
        <v>43876</v>
      </c>
      <c r="E63" s="47">
        <f>IF(A63&lt;G$11,"",ROUND((VLOOKUP(YEAR(EDATE(D63,-2)),CPI!$A:$M,MONTH(EDATE(D63,-2))+1,FALSE)*(DAY(D63)-1)+VLOOKUP(YEAR(EDATE(D63,-3)),CPI!$A:$M,MONTH(EDATE(D63,-3))+1,FALSE)*(DAY(EOMONTH(D63,0))-DAY(D63)+1))/DAY(EOMONTH(D63,0)),5))</f>
        <v>257.09503000000001</v>
      </c>
      <c r="F63" s="48">
        <f>IF(A63&lt;G$11,"",VLOOKUP($A63+$B63,Quotes!$A:$AAO,$G$8,FALSE))</f>
        <v>15608.124</v>
      </c>
      <c r="G63" s="47">
        <f t="shared" si="2"/>
        <v>1.26078</v>
      </c>
      <c r="H63" s="50">
        <f t="shared" si="3"/>
        <v>19678.410576720002</v>
      </c>
      <c r="I63" s="47">
        <f>IF(A63&lt;G$11,"",VLOOKUP($A63+$B63,Quotes!$A:$AAO,$G$8+2,FALSE))</f>
        <v>59.406250000000007</v>
      </c>
      <c r="J63" s="50">
        <f t="shared" si="41"/>
        <v>11690.205783232728</v>
      </c>
      <c r="K63" s="49">
        <f>IF(A63&lt;G$11,"",VLOOKUP($A63+$B63,Quotes!$A:$AAO,$G$8+3,FALSE))</f>
        <v>2.4879999999999999E-2</v>
      </c>
      <c r="L63" s="226">
        <f t="shared" si="5"/>
        <v>2050</v>
      </c>
      <c r="M63" s="224">
        <f t="shared" si="19"/>
        <v>290.85231988683029</v>
      </c>
      <c r="N63" s="114">
        <f t="shared" si="42"/>
        <v>0.52717391304347827</v>
      </c>
      <c r="O63" s="48">
        <f t="shared" si="43"/>
        <v>48</v>
      </c>
      <c r="P63" s="63">
        <f t="shared" si="44"/>
        <v>59.475989408515581</v>
      </c>
      <c r="Q63" s="64">
        <f t="shared" si="45"/>
        <v>59.474624060063107</v>
      </c>
      <c r="R63" s="64">
        <f t="shared" si="46"/>
        <v>37.796227734829209</v>
      </c>
      <c r="S63" s="64">
        <f t="shared" si="47"/>
        <v>23.242153453878732</v>
      </c>
      <c r="T63" s="64">
        <f t="shared" si="48"/>
        <v>22.956573677332713</v>
      </c>
      <c r="U63" s="64">
        <f t="shared" si="49"/>
        <v>24.263586956521738</v>
      </c>
      <c r="V63" s="64">
        <f t="shared" si="50"/>
        <v>22.956296583775959</v>
      </c>
      <c r="W63" s="64">
        <f t="shared" si="51"/>
        <v>23.241872913278133</v>
      </c>
      <c r="X63" s="68">
        <f t="shared" si="52"/>
        <v>0.36451283768946152</v>
      </c>
      <c r="Y63" s="91" t="str">
        <f t="shared" si="20"/>
        <v/>
      </c>
      <c r="Z63" s="49" t="str">
        <f t="shared" si="70"/>
        <v/>
      </c>
      <c r="AA63" s="49" t="str">
        <f t="shared" si="70"/>
        <v/>
      </c>
      <c r="AB63" s="49">
        <f t="shared" si="70"/>
        <v>6.6520281189821921E-3</v>
      </c>
      <c r="AC63" s="90">
        <f t="shared" si="70"/>
        <v>3.8982182488019615E-2</v>
      </c>
      <c r="AE63"/>
      <c r="AF63"/>
      <c r="AH63"/>
      <c r="AI63"/>
      <c r="AJ63"/>
      <c r="AK63"/>
    </row>
    <row r="64" spans="1:37" x14ac:dyDescent="0.35">
      <c r="A64" s="45">
        <v>55199</v>
      </c>
      <c r="B64" s="46">
        <v>1.25E-3</v>
      </c>
      <c r="C64" s="2">
        <v>30</v>
      </c>
      <c r="D64" s="1">
        <f t="shared" si="1"/>
        <v>44242</v>
      </c>
      <c r="E64" s="47">
        <f>IF(A64&lt;G$11,"",ROUND((VLOOKUP(YEAR(EDATE(D64,-2)),CPI!$A:$M,MONTH(EDATE(D64,-2))+1,FALSE)*(DAY(D64)-1)+VLOOKUP(YEAR(EDATE(D64,-3)),CPI!$A:$M,MONTH(EDATE(D64,-3))+1,FALSE)*(DAY(EOMONTH(D64,0))-DAY(D64)+1))/DAY(EOMONTH(D64,0)),5))</f>
        <v>260.35149999999999</v>
      </c>
      <c r="F64" s="48">
        <f>IF(A64&lt;G$11,"",VLOOKUP($A64+$B64,Quotes!$A:$AAO,$G$8,FALSE))</f>
        <v>18005.154999999999</v>
      </c>
      <c r="G64" s="47">
        <f t="shared" si="2"/>
        <v>1.24501</v>
      </c>
      <c r="H64" s="50">
        <f t="shared" si="3"/>
        <v>22416.598026549997</v>
      </c>
      <c r="I64" s="47">
        <f>IF(A64&lt;G$11,"",VLOOKUP($A64+$B64,Quotes!$A:$AAO,$G$8+2,FALSE))</f>
        <v>55.78125</v>
      </c>
      <c r="J64" s="50">
        <f t="shared" si="41"/>
        <v>12504.258586684919</v>
      </c>
      <c r="K64" s="49">
        <f>IF(A64&lt;G$11,"",VLOOKUP($A64+$B64,Quotes!$A:$AAO,$G$8+3,FALSE))</f>
        <v>2.495E-2</v>
      </c>
      <c r="L64" s="226">
        <f t="shared" si="5"/>
        <v>2051</v>
      </c>
      <c r="M64" s="224">
        <f t="shared" si="19"/>
        <v>311.98125173778874</v>
      </c>
      <c r="N64" s="114">
        <f t="shared" si="42"/>
        <v>0.52717391304347827</v>
      </c>
      <c r="O64" s="48">
        <f t="shared" si="43"/>
        <v>50</v>
      </c>
      <c r="P64" s="63">
        <f t="shared" si="44"/>
        <v>55.811432559958966</v>
      </c>
      <c r="Q64" s="64">
        <f t="shared" si="45"/>
        <v>55.810072221918688</v>
      </c>
      <c r="R64" s="64">
        <f t="shared" si="46"/>
        <v>34.435075113782865</v>
      </c>
      <c r="S64" s="64">
        <f t="shared" si="47"/>
        <v>24.678199337727435</v>
      </c>
      <c r="T64" s="64">
        <f t="shared" si="48"/>
        <v>24.374132040521925</v>
      </c>
      <c r="U64" s="64">
        <f t="shared" si="49"/>
        <v>25.263586956521738</v>
      </c>
      <c r="V64" s="64">
        <f t="shared" si="50"/>
        <v>24.373824105250463</v>
      </c>
      <c r="W64" s="64">
        <f t="shared" si="51"/>
        <v>24.677887560963462</v>
      </c>
      <c r="X64" s="68">
        <f t="shared" si="52"/>
        <v>0.38301037019989037</v>
      </c>
      <c r="Y64" s="91" t="str">
        <f t="shared" si="20"/>
        <v/>
      </c>
      <c r="Z64" s="49" t="str">
        <f t="shared" si="70"/>
        <v/>
      </c>
      <c r="AA64" s="49" t="str">
        <f t="shared" si="70"/>
        <v/>
      </c>
      <c r="AB64" s="49">
        <f t="shared" si="70"/>
        <v>7.1152451263908328E-3</v>
      </c>
      <c r="AC64" s="90">
        <f t="shared" si="70"/>
        <v>4.1696724518115673E-2</v>
      </c>
      <c r="AE64"/>
      <c r="AF64"/>
      <c r="AH64"/>
      <c r="AI64"/>
      <c r="AJ64"/>
      <c r="AK64"/>
    </row>
    <row r="65" spans="1:37" x14ac:dyDescent="0.35">
      <c r="A65" s="45">
        <v>55564</v>
      </c>
      <c r="B65" s="46">
        <v>1.25E-3</v>
      </c>
      <c r="C65" s="2">
        <v>30</v>
      </c>
      <c r="D65" s="1">
        <f t="shared" si="1"/>
        <v>44607</v>
      </c>
      <c r="E65" s="47">
        <f>IF(A65&lt;G$11,"",ROUND((VLOOKUP(YEAR(EDATE(D65,-2)),CPI!$A:$M,MONTH(EDATE(D65,-2))+1,FALSE)*(DAY(D65)-1)+VLOOKUP(YEAR(EDATE(D65,-3)),CPI!$A:$M,MONTH(EDATE(D65,-3))+1,FALSE)*(DAY(EOMONTH(D65,0))-DAY(D65)+1))/DAY(EOMONTH(D65,0)),5))</f>
        <v>278.375</v>
      </c>
      <c r="F65" s="48">
        <f>IF(A65&lt;G$11,"",VLOOKUP($A65+$B65,Quotes!$A:$AAO,$G$8,FALSE))</f>
        <v>19583.398000000001</v>
      </c>
      <c r="G65" s="47">
        <f t="shared" si="2"/>
        <v>1.1644000000000001</v>
      </c>
      <c r="H65" s="50">
        <f t="shared" si="3"/>
        <v>22802.908631200004</v>
      </c>
      <c r="I65" s="47">
        <f>IF(A65&lt;G$11,"",VLOOKUP($A65+$B65,Quotes!$A:$AAO,$G$8+2,FALSE))</f>
        <v>54.593749999999993</v>
      </c>
      <c r="J65" s="50">
        <f t="shared" si="41"/>
        <v>12448.962930845752</v>
      </c>
      <c r="K65" s="49">
        <f>IF(A65&lt;G$11,"",VLOOKUP($A65+$B65,Quotes!$A:$AAO,$G$8+3,FALSE))</f>
        <v>2.4910000000000002E-2</v>
      </c>
      <c r="L65" s="226">
        <f t="shared" si="5"/>
        <v>2052</v>
      </c>
      <c r="M65" s="224">
        <f t="shared" si="19"/>
        <v>310.1036666073677</v>
      </c>
      <c r="N65" s="114">
        <f t="shared" si="42"/>
        <v>0.52717391304347827</v>
      </c>
      <c r="O65" s="48">
        <f t="shared" si="43"/>
        <v>52</v>
      </c>
      <c r="P65" s="63">
        <f t="shared" si="44"/>
        <v>54.623252257656034</v>
      </c>
      <c r="Q65" s="64">
        <f t="shared" si="45"/>
        <v>54.621869950451178</v>
      </c>
      <c r="R65" s="64">
        <f t="shared" si="46"/>
        <v>33.092867789447645</v>
      </c>
      <c r="S65" s="64">
        <f t="shared" si="47"/>
        <v>25.621729675999084</v>
      </c>
      <c r="T65" s="64">
        <f t="shared" si="48"/>
        <v>25.306536760645244</v>
      </c>
      <c r="U65" s="64">
        <f t="shared" si="49"/>
        <v>26.263586956521738</v>
      </c>
      <c r="V65" s="64">
        <f t="shared" si="50"/>
        <v>25.306204733732685</v>
      </c>
      <c r="W65" s="64">
        <f t="shared" si="51"/>
        <v>25.621393513691327</v>
      </c>
      <c r="X65" s="68">
        <f t="shared" si="52"/>
        <v>0.39416152605945709</v>
      </c>
      <c r="Y65" s="91" t="str">
        <f t="shared" si="20"/>
        <v/>
      </c>
      <c r="Z65" s="49" t="str">
        <f t="shared" si="70"/>
        <v/>
      </c>
      <c r="AA65" s="49" t="str">
        <f t="shared" si="70"/>
        <v/>
      </c>
      <c r="AB65" s="49">
        <f t="shared" si="70"/>
        <v>7.0837804743290808E-3</v>
      </c>
      <c r="AC65" s="90">
        <f t="shared" si="70"/>
        <v>4.1512335518752733E-2</v>
      </c>
      <c r="AE65"/>
      <c r="AF65"/>
      <c r="AH65"/>
      <c r="AI65"/>
      <c r="AJ65"/>
      <c r="AK65"/>
    </row>
    <row r="66" spans="1:37" x14ac:dyDescent="0.35">
      <c r="A66" s="45">
        <v>55930</v>
      </c>
      <c r="B66" s="46">
        <v>1.4999999999999999E-2</v>
      </c>
      <c r="C66" s="2">
        <v>30</v>
      </c>
      <c r="D66" s="1">
        <f t="shared" si="1"/>
        <v>44972</v>
      </c>
      <c r="E66" s="47">
        <f>IF(A66&lt;G$11,"",ROUND((VLOOKUP(YEAR(EDATE(D66,-2)),CPI!$A:$M,MONTH(EDATE(D66,-2))+1,FALSE)*(DAY(D66)-1)+VLOOKUP(YEAR(EDATE(D66,-3)),CPI!$A:$M,MONTH(EDATE(D66,-3))+1,FALSE)*(DAY(EOMONTH(D66,0))-DAY(D66)+1))/DAY(EOMONTH(D66,0)),5))</f>
        <v>297.25400000000002</v>
      </c>
      <c r="F66" s="48">
        <f>IF(A66&lt;G$11,"",VLOOKUP($A66+$B66,Quotes!$A:$AAO,$G$8,FALSE))</f>
        <v>19876.004000000001</v>
      </c>
      <c r="G66" s="47">
        <f t="shared" si="2"/>
        <v>1.0904499999999999</v>
      </c>
      <c r="H66" s="50">
        <f t="shared" si="3"/>
        <v>21673.7885618</v>
      </c>
      <c r="I66" s="47">
        <f>IF(A66&lt;G$11,"",VLOOKUP($A66+$B66,Quotes!$A:$AAO,$G$8+2,FALSE))</f>
        <v>80.34375</v>
      </c>
      <c r="J66" s="50">
        <f t="shared" si="41"/>
        <v>17413.534497621189</v>
      </c>
      <c r="K66" s="49">
        <f>IF(A66&lt;G$11,"",VLOOKUP($A66+$B66,Quotes!$A:$AAO,$G$8+3,FALSE))</f>
        <v>2.4990000000000002E-2</v>
      </c>
      <c r="L66" s="226">
        <f t="shared" si="5"/>
        <v>2053</v>
      </c>
      <c r="M66" s="224">
        <f t="shared" si="19"/>
        <v>435.16422709555354</v>
      </c>
      <c r="N66" s="114">
        <f t="shared" si="42"/>
        <v>0.52717391304347827</v>
      </c>
      <c r="O66" s="48">
        <f t="shared" si="43"/>
        <v>54</v>
      </c>
      <c r="P66" s="63">
        <f t="shared" si="44"/>
        <v>80.688890759094974</v>
      </c>
      <c r="Q66" s="64">
        <f t="shared" si="45"/>
        <v>80.687162278748048</v>
      </c>
      <c r="R66" s="64">
        <f t="shared" si="46"/>
        <v>53.511424406658683</v>
      </c>
      <c r="S66" s="64">
        <f t="shared" si="47"/>
        <v>21.689477733462798</v>
      </c>
      <c r="T66" s="64">
        <f t="shared" si="48"/>
        <v>21.421812190146913</v>
      </c>
      <c r="U66" s="64">
        <f t="shared" si="49"/>
        <v>27.263586956521738</v>
      </c>
      <c r="V66" s="64">
        <f t="shared" si="50"/>
        <v>21.421540569832587</v>
      </c>
      <c r="W66" s="64">
        <f t="shared" si="51"/>
        <v>21.689202719252645</v>
      </c>
      <c r="X66" s="68">
        <f t="shared" si="52"/>
        <v>0.33681794478470928</v>
      </c>
      <c r="Y66" s="91" t="str">
        <f t="shared" si="20"/>
        <v/>
      </c>
      <c r="Z66" s="49" t="str">
        <f t="shared" si="70"/>
        <v/>
      </c>
      <c r="AA66" s="49" t="str">
        <f t="shared" si="70"/>
        <v/>
      </c>
      <c r="AB66" s="49">
        <f t="shared" si="70"/>
        <v>9.9087495358880055E-3</v>
      </c>
      <c r="AC66" s="90">
        <f t="shared" si="70"/>
        <v>5.8067205328525759E-2</v>
      </c>
      <c r="AE66"/>
      <c r="AF66"/>
      <c r="AH66"/>
      <c r="AI66"/>
      <c r="AJ66"/>
      <c r="AK66"/>
    </row>
    <row r="67" spans="1:37" x14ac:dyDescent="0.35">
      <c r="A67" s="45">
        <v>56295</v>
      </c>
      <c r="B67" s="46">
        <v>2.1250000000000002E-2</v>
      </c>
      <c r="C67" s="2">
        <v>30</v>
      </c>
      <c r="D67" s="1">
        <f t="shared" si="1"/>
        <v>45337</v>
      </c>
      <c r="E67" s="47">
        <f>IF(A67&lt;G$11,"",ROUND((VLOOKUP(YEAR(EDATE(D67,-2)),CPI!$A:$M,MONTH(EDATE(D67,-2))+1,FALSE)*(DAY(D67)-1)+VLOOKUP(YEAR(EDATE(D67,-3)),CPI!$A:$M,MONTH(EDATE(D67,-3))+1,FALSE)*(DAY(EOMONTH(D67,0))-DAY(D67)+1))/DAY(EOMONTH(D67,0)),5))</f>
        <v>306.90375999999998</v>
      </c>
      <c r="F67" s="48">
        <f>IF(A67&lt;G$11,"",VLOOKUP($A67+$B67,Quotes!$A:$AAO,$G$8,FALSE))</f>
        <v>17389.384999999998</v>
      </c>
      <c r="G67" s="47">
        <f t="shared" si="2"/>
        <v>1.05616</v>
      </c>
      <c r="H67" s="50">
        <f t="shared" si="3"/>
        <v>18365.972861599999</v>
      </c>
      <c r="I67" s="47">
        <f>IF(A67&lt;G$11,"",VLOOKUP($A67+$B67,Quotes!$A:$AAO,$G$8+2,FALSE))</f>
        <v>92.562500000000028</v>
      </c>
      <c r="J67" s="50">
        <f t="shared" si="41"/>
        <v>17000.003630018506</v>
      </c>
      <c r="K67" s="49">
        <f>IF(A67&lt;G$11,"",VLOOKUP($A67+$B67,Quotes!$A:$AAO,$G$8+3,FALSE))</f>
        <v>2.4929999999999997E-2</v>
      </c>
      <c r="L67" s="226">
        <f t="shared" si="5"/>
        <v>2054</v>
      </c>
      <c r="M67" s="224">
        <f t="shared" si="19"/>
        <v>423.81009049636128</v>
      </c>
      <c r="N67" s="114">
        <f t="shared" si="42"/>
        <v>0.52717391304347827</v>
      </c>
      <c r="O67" s="48">
        <f t="shared" si="43"/>
        <v>56</v>
      </c>
      <c r="P67" s="63">
        <f t="shared" si="44"/>
        <v>93.067790671606488</v>
      </c>
      <c r="Q67" s="64">
        <f t="shared" si="45"/>
        <v>93.065864384602961</v>
      </c>
      <c r="R67" s="64">
        <f t="shared" si="46"/>
        <v>62.807474585910882</v>
      </c>
      <c r="S67" s="64">
        <f t="shared" si="47"/>
        <v>20.955940222026953</v>
      </c>
      <c r="T67" s="64">
        <f t="shared" si="48"/>
        <v>20.69794039500324</v>
      </c>
      <c r="U67" s="64">
        <f t="shared" si="49"/>
        <v>28.263586956521738</v>
      </c>
      <c r="V67" s="64">
        <f t="shared" si="50"/>
        <v>20.697676281211663</v>
      </c>
      <c r="W67" s="64">
        <f t="shared" si="51"/>
        <v>20.955672816056964</v>
      </c>
      <c r="X67" s="68">
        <f t="shared" si="52"/>
        <v>0.3251427359275173</v>
      </c>
      <c r="Y67" s="91" t="str">
        <f t="shared" si="20"/>
        <v/>
      </c>
      <c r="Z67" s="49" t="str">
        <f t="shared" si="70"/>
        <v/>
      </c>
      <c r="AA67" s="49" t="str">
        <f t="shared" si="70"/>
        <v/>
      </c>
      <c r="AB67" s="49">
        <f t="shared" si="70"/>
        <v>9.6734398236068362E-3</v>
      </c>
      <c r="AC67" s="90">
        <f t="shared" si="70"/>
        <v>5.6688244509167186E-2</v>
      </c>
      <c r="AE67"/>
      <c r="AF67"/>
      <c r="AH67"/>
      <c r="AI67"/>
      <c r="AJ67"/>
      <c r="AK67"/>
    </row>
    <row r="68" spans="1:37" x14ac:dyDescent="0.35">
      <c r="A68" s="45">
        <v>56660</v>
      </c>
      <c r="B68" s="46">
        <v>2.375E-2</v>
      </c>
      <c r="C68" s="2">
        <v>30</v>
      </c>
      <c r="D68" s="171">
        <f t="shared" si="1"/>
        <v>45703</v>
      </c>
      <c r="E68" s="47">
        <f>IF(A68&lt;G$11,"",ROUND((VLOOKUP(YEAR(EDATE(D68,-2)),CPI!$A:$M,MONTH(EDATE(D68,-2))+1,FALSE)*(DAY(D68)-1)+VLOOKUP(YEAR(EDATE(D68,-3)),CPI!$A:$M,MONTH(EDATE(D68,-3))+1,FALSE)*(DAY(EOMONTH(D68,0))-DAY(D68)+1))/DAY(EOMONTH(D68,0)),5))</f>
        <v>315.54899999999998</v>
      </c>
      <c r="F68" s="48">
        <f>IF(A68&lt;G$11,"",VLOOKUP($A68+$B68,Quotes!$A:$AAO,$G$8,FALSE))</f>
        <v>17907.125</v>
      </c>
      <c r="G68" s="47">
        <f>IF(A68&lt;G$11,"",ROUND(G$12/E68,5))</f>
        <v>1.0272300000000001</v>
      </c>
      <c r="H68" s="50">
        <f t="shared" si="3"/>
        <v>18394.73601375</v>
      </c>
      <c r="I68" s="47">
        <f>IF(A68&lt;G$11,"",VLOOKUP($A68+$B68,Quotes!$A:$AAO,$G$8+2,FALSE))</f>
        <v>97.843749999999986</v>
      </c>
      <c r="J68" s="50">
        <f t="shared" si="41"/>
        <v>17998.099518453513</v>
      </c>
      <c r="K68" s="49">
        <f>IF(A68&lt;G$11,"",VLOOKUP($A68+$B68,Quotes!$A:$AAO,$G$8+3,FALSE))</f>
        <v>2.4780000000000003E-2</v>
      </c>
      <c r="L68" s="226">
        <f t="shared" si="5"/>
        <v>2055</v>
      </c>
      <c r="M68" s="224">
        <f t="shared" si="19"/>
        <v>445.99290606727811</v>
      </c>
      <c r="N68" s="114">
        <f t="shared" si="42"/>
        <v>0.52717391304347827</v>
      </c>
      <c r="O68" s="48">
        <f t="shared" si="43"/>
        <v>58</v>
      </c>
      <c r="P68" s="63">
        <f t="shared" si="44"/>
        <v>98.424896576081238</v>
      </c>
      <c r="Q68" s="64">
        <f t="shared" si="45"/>
        <v>98.422851652118879</v>
      </c>
      <c r="R68" s="64">
        <f t="shared" si="46"/>
        <v>66.445867747974205</v>
      </c>
      <c r="S68" s="64">
        <f t="shared" si="47"/>
        <v>21.034185588877726</v>
      </c>
      <c r="T68" s="64">
        <f t="shared" si="48"/>
        <v>20.776761513722704</v>
      </c>
      <c r="U68" s="64">
        <f t="shared" si="49"/>
        <v>29.263586956521738</v>
      </c>
      <c r="V68" s="64">
        <f t="shared" si="50"/>
        <v>20.776490842200346</v>
      </c>
      <c r="W68" s="64">
        <f t="shared" si="51"/>
        <v>21.033911563735206</v>
      </c>
      <c r="X68" s="68">
        <f t="shared" si="52"/>
        <v>0.32490792411844327</v>
      </c>
      <c r="Y68" s="91" t="str">
        <f t="shared" si="20"/>
        <v/>
      </c>
      <c r="Z68" s="49" t="str">
        <f t="shared" si="70"/>
        <v/>
      </c>
      <c r="AA68" s="49" t="str">
        <f t="shared" si="70"/>
        <v/>
      </c>
      <c r="AB68" s="49">
        <f t="shared" si="70"/>
        <v>1.0241382085567104E-2</v>
      </c>
      <c r="AC68" s="90">
        <f t="shared" si="70"/>
        <v>6.0016496961260143E-2</v>
      </c>
      <c r="AE68"/>
      <c r="AF68"/>
      <c r="AH68"/>
      <c r="AI68"/>
      <c r="AJ68"/>
      <c r="AK68"/>
    </row>
    <row r="69" spans="1:37" x14ac:dyDescent="0.35">
      <c r="A69" s="51"/>
      <c r="B69" s="46"/>
      <c r="D69" s="2" t="str">
        <f t="shared" si="1"/>
        <v/>
      </c>
      <c r="E69" s="47" t="str">
        <f>IF(A69&lt;G$11,"",ROUND((VLOOKUP(YEAR(EDATE(D69,-2)),CPI!$A:$M,MONTH(EDATE(D69,-2))+1,FALSE)*(DAY(D69)-1)+VLOOKUP(YEAR(EDATE(D69,-3)),CPI!$A:$M,MONTH(EDATE(D69,-3))+1,FALSE)*(DAY(EOMONTH(D69,0))-DAY(D69)+1))/DAY(EOMONTH(D69,0)),5))</f>
        <v/>
      </c>
      <c r="F69" s="48" t="str">
        <f>IF(A69&lt;G$11,"",VLOOKUP($A69+$B69,Quotes!$A:$AAO,$G$8,FALSE))</f>
        <v/>
      </c>
      <c r="G69" s="48" t="str">
        <f t="shared" si="2"/>
        <v/>
      </c>
      <c r="H69" s="194" t="str">
        <f t="shared" si="3"/>
        <v/>
      </c>
      <c r="I69" s="47" t="str">
        <f>IF(A69&lt;G$11,"",VLOOKUP($A69+$B69,Quotes!$A:$AAO,$G$8+2,FALSE))</f>
        <v/>
      </c>
      <c r="J69" s="50" t="str">
        <f t="shared" si="41"/>
        <v/>
      </c>
      <c r="K69" s="49" t="str">
        <f>IF(A69&lt;G$11,"",VLOOKUP($A69+$B69,Quotes!$A:$AAO,$G$8+3,FALSE))</f>
        <v/>
      </c>
      <c r="L69" s="226" t="str">
        <f t="shared" si="5"/>
        <v/>
      </c>
      <c r="M69" s="224" t="str">
        <f t="shared" si="19"/>
        <v/>
      </c>
      <c r="N69" s="114" t="str">
        <f t="shared" si="42"/>
        <v/>
      </c>
      <c r="O69" s="48" t="str">
        <f t="shared" si="43"/>
        <v/>
      </c>
      <c r="P69" s="63" t="str">
        <f t="shared" si="44"/>
        <v/>
      </c>
      <c r="Q69" s="64" t="str">
        <f t="shared" si="45"/>
        <v/>
      </c>
      <c r="R69" s="64" t="str">
        <f t="shared" si="46"/>
        <v/>
      </c>
      <c r="S69" s="64" t="str">
        <f t="shared" si="47"/>
        <v/>
      </c>
      <c r="T69" s="64" t="str">
        <f t="shared" si="48"/>
        <v/>
      </c>
      <c r="U69" s="64" t="str">
        <f t="shared" si="49"/>
        <v/>
      </c>
      <c r="V69" s="64" t="str">
        <f t="shared" si="50"/>
        <v/>
      </c>
      <c r="W69" s="64" t="str">
        <f t="shared" si="51"/>
        <v/>
      </c>
      <c r="X69" s="68" t="str">
        <f t="shared" si="52"/>
        <v/>
      </c>
      <c r="Y69" s="91" t="str">
        <f t="shared" si="20"/>
        <v/>
      </c>
      <c r="Z69" s="49" t="str">
        <f t="shared" si="70"/>
        <v/>
      </c>
      <c r="AA69" s="49" t="str">
        <f t="shared" si="70"/>
        <v/>
      </c>
      <c r="AB69" s="49" t="str">
        <f t="shared" si="70"/>
        <v/>
      </c>
      <c r="AC69" s="90" t="str">
        <f t="shared" si="70"/>
        <v/>
      </c>
    </row>
    <row r="70" spans="1:37" x14ac:dyDescent="0.35">
      <c r="A70" s="51"/>
      <c r="B70" s="46"/>
      <c r="D70" s="2" t="str">
        <f t="shared" si="1"/>
        <v/>
      </c>
      <c r="E70" s="47" t="str">
        <f>IF(A70&lt;G$11,"",ROUND((VLOOKUP(YEAR(EDATE(D70,-2)),CPI!$A:$M,MONTH(EDATE(D70,-2))+1,FALSE)*(DAY(D70)-1)+VLOOKUP(YEAR(EDATE(D70,-3)),CPI!$A:$M,MONTH(EDATE(D70,-3))+1,FALSE)*(DAY(EOMONTH(D70,0))-DAY(D70)+1))/DAY(EOMONTH(D70,0)),5))</f>
        <v/>
      </c>
      <c r="F70" s="48" t="str">
        <f>IF(A70&lt;G$11,"",VLOOKUP($A70+$B70,Quotes!$A:$AAO,$G$8,FALSE))</f>
        <v/>
      </c>
      <c r="G70" s="48" t="str">
        <f t="shared" si="2"/>
        <v/>
      </c>
      <c r="H70" s="194" t="str">
        <f t="shared" si="3"/>
        <v/>
      </c>
      <c r="I70" s="47" t="str">
        <f>IF(A70&lt;G$11,"",VLOOKUP($A70+$B70,Quotes!$A:$AAO,$G$8+2,FALSE))</f>
        <v/>
      </c>
      <c r="J70" s="50" t="str">
        <f t="shared" si="41"/>
        <v/>
      </c>
      <c r="K70" s="49" t="str">
        <f>IF(A70&lt;G$11,"",VLOOKUP($A70+$B70,Quotes!$A:$AAO,$G$8+3,FALSE))</f>
        <v/>
      </c>
      <c r="L70" s="226" t="str">
        <f t="shared" si="5"/>
        <v/>
      </c>
      <c r="M70" s="224" t="str">
        <f t="shared" si="19"/>
        <v/>
      </c>
      <c r="N70" s="114" t="str">
        <f t="shared" si="42"/>
        <v/>
      </c>
      <c r="O70" s="48" t="str">
        <f t="shared" si="43"/>
        <v/>
      </c>
      <c r="P70" s="63" t="str">
        <f t="shared" si="44"/>
        <v/>
      </c>
      <c r="Q70" s="64" t="str">
        <f t="shared" si="45"/>
        <v/>
      </c>
      <c r="R70" s="64" t="str">
        <f t="shared" si="46"/>
        <v/>
      </c>
      <c r="S70" s="64" t="str">
        <f t="shared" si="47"/>
        <v/>
      </c>
      <c r="T70" s="64" t="str">
        <f t="shared" si="48"/>
        <v/>
      </c>
      <c r="U70" s="64" t="str">
        <f t="shared" si="49"/>
        <v/>
      </c>
      <c r="V70" s="64" t="str">
        <f t="shared" si="50"/>
        <v/>
      </c>
      <c r="W70" s="64" t="str">
        <f t="shared" si="51"/>
        <v/>
      </c>
      <c r="X70" s="68" t="str">
        <f t="shared" si="52"/>
        <v/>
      </c>
      <c r="Y70" s="91" t="str">
        <f t="shared" si="20"/>
        <v/>
      </c>
      <c r="Z70" s="49" t="str">
        <f t="shared" si="70"/>
        <v/>
      </c>
      <c r="AA70" s="49" t="str">
        <f t="shared" si="70"/>
        <v/>
      </c>
      <c r="AB70" s="49" t="str">
        <f t="shared" si="70"/>
        <v/>
      </c>
      <c r="AC70" s="90" t="str">
        <f t="shared" si="70"/>
        <v/>
      </c>
    </row>
    <row r="71" spans="1:37" x14ac:dyDescent="0.35">
      <c r="A71" s="51"/>
      <c r="B71" s="46"/>
      <c r="D71" s="2" t="str">
        <f t="shared" si="1"/>
        <v/>
      </c>
      <c r="E71" s="47" t="str">
        <f>IF(A71&lt;G$11,"",ROUND((VLOOKUP(YEAR(EDATE(D71,-2)),CPI!$A:$M,MONTH(EDATE(D71,-2))+1,FALSE)*(DAY(D71)-1)+VLOOKUP(YEAR(EDATE(D71,-3)),CPI!$A:$M,MONTH(EDATE(D71,-3))+1,FALSE)*(DAY(EOMONTH(D71,0))-DAY(D71)+1))/DAY(EOMONTH(D71,0)),5))</f>
        <v/>
      </c>
      <c r="F71" s="48" t="str">
        <f>IF(A71&lt;G$11,"",VLOOKUP($A71+$B71,Quotes!$A:$AAO,$G$8,FALSE))</f>
        <v/>
      </c>
      <c r="G71" s="48" t="str">
        <f t="shared" si="2"/>
        <v/>
      </c>
      <c r="H71" s="50" t="str">
        <f t="shared" si="3"/>
        <v/>
      </c>
      <c r="I71" s="47" t="str">
        <f>IF(A71&lt;G$11,"",VLOOKUP($A71+$B71,Quotes!$A:$AAO,$G$8+2,FALSE))</f>
        <v/>
      </c>
      <c r="J71" s="50" t="str">
        <f t="shared" si="41"/>
        <v/>
      </c>
      <c r="K71" s="49" t="str">
        <f>IF(A71&lt;G$11,"",VLOOKUP($A71+$B71,Quotes!$A:$AAO,$G$8+3,FALSE))</f>
        <v/>
      </c>
      <c r="L71" s="226" t="str">
        <f t="shared" si="5"/>
        <v/>
      </c>
      <c r="M71" s="224" t="str">
        <f t="shared" si="19"/>
        <v/>
      </c>
      <c r="N71" s="114" t="str">
        <f t="shared" si="42"/>
        <v/>
      </c>
      <c r="O71" s="48" t="str">
        <f t="shared" si="43"/>
        <v/>
      </c>
      <c r="P71" s="63" t="str">
        <f t="shared" si="44"/>
        <v/>
      </c>
      <c r="Q71" s="64" t="str">
        <f t="shared" si="45"/>
        <v/>
      </c>
      <c r="R71" s="64" t="str">
        <f t="shared" si="46"/>
        <v/>
      </c>
      <c r="S71" s="64" t="str">
        <f t="shared" si="47"/>
        <v/>
      </c>
      <c r="T71" s="64" t="str">
        <f t="shared" si="48"/>
        <v/>
      </c>
      <c r="U71" s="64" t="str">
        <f t="shared" si="49"/>
        <v/>
      </c>
      <c r="V71" s="64" t="str">
        <f t="shared" si="50"/>
        <v/>
      </c>
      <c r="W71" s="64" t="str">
        <f t="shared" si="51"/>
        <v/>
      </c>
      <c r="X71" s="68" t="str">
        <f t="shared" si="52"/>
        <v/>
      </c>
      <c r="Y71" s="91" t="str">
        <f t="shared" si="20"/>
        <v/>
      </c>
      <c r="Z71" s="49" t="str">
        <f t="shared" si="70"/>
        <v/>
      </c>
      <c r="AA71" s="49" t="str">
        <f t="shared" si="70"/>
        <v/>
      </c>
      <c r="AB71" s="49" t="str">
        <f t="shared" si="70"/>
        <v/>
      </c>
      <c r="AC71" s="90" t="str">
        <f t="shared" si="70"/>
        <v/>
      </c>
    </row>
    <row r="72" spans="1:37" x14ac:dyDescent="0.35">
      <c r="A72" s="51"/>
      <c r="B72" s="46"/>
      <c r="D72" s="2" t="str">
        <f t="shared" si="1"/>
        <v/>
      </c>
      <c r="E72" s="47" t="str">
        <f>IF(A72&lt;G$11,"",ROUND((VLOOKUP(YEAR(EDATE(D72,-2)),CPI!$A:$M,MONTH(EDATE(D72,-2))+1,FALSE)*(DAY(D72)-1)+VLOOKUP(YEAR(EDATE(D72,-3)),CPI!$A:$M,MONTH(EDATE(D72,-3))+1,FALSE)*(DAY(EOMONTH(D72,0))-DAY(D72)+1))/DAY(EOMONTH(D72,0)),5))</f>
        <v/>
      </c>
      <c r="F72" s="48" t="str">
        <f>IF(A72&lt;G$11,"",VLOOKUP($A72+$B72,Quotes!$A:$AAO,$G$8,FALSE))</f>
        <v/>
      </c>
      <c r="G72" s="48" t="str">
        <f t="shared" si="2"/>
        <v/>
      </c>
      <c r="H72" s="50" t="str">
        <f t="shared" si="3"/>
        <v/>
      </c>
      <c r="I72" s="47" t="str">
        <f>IF(A72&lt;G$11,"",VLOOKUP($A72+$B72,Quotes!$A:$AAO,$G$8+2,FALSE))</f>
        <v/>
      </c>
      <c r="J72" s="50" t="str">
        <f t="shared" si="41"/>
        <v/>
      </c>
      <c r="K72" s="49" t="str">
        <f>IF(A72&lt;G$11,"",VLOOKUP($A72+$B72,Quotes!$A:$AAO,$G$8+3,FALSE))</f>
        <v/>
      </c>
      <c r="L72" s="226" t="str">
        <f t="shared" si="5"/>
        <v/>
      </c>
      <c r="M72" s="224" t="str">
        <f t="shared" si="19"/>
        <v/>
      </c>
      <c r="N72" s="114" t="str">
        <f t="shared" si="42"/>
        <v/>
      </c>
      <c r="O72" s="48" t="str">
        <f t="shared" si="43"/>
        <v/>
      </c>
      <c r="P72" s="63" t="str">
        <f t="shared" si="44"/>
        <v/>
      </c>
      <c r="Q72" s="64" t="str">
        <f t="shared" si="45"/>
        <v/>
      </c>
      <c r="R72" s="64" t="str">
        <f t="shared" si="46"/>
        <v/>
      </c>
      <c r="S72" s="64" t="str">
        <f t="shared" si="47"/>
        <v/>
      </c>
      <c r="T72" s="64" t="str">
        <f t="shared" si="48"/>
        <v/>
      </c>
      <c r="U72" s="64" t="str">
        <f t="shared" si="49"/>
        <v/>
      </c>
      <c r="V72" s="64" t="str">
        <f t="shared" si="50"/>
        <v/>
      </c>
      <c r="W72" s="64" t="str">
        <f t="shared" si="51"/>
        <v/>
      </c>
      <c r="X72" s="68" t="str">
        <f t="shared" si="52"/>
        <v/>
      </c>
      <c r="Y72" s="91" t="str">
        <f t="shared" si="20"/>
        <v/>
      </c>
      <c r="Z72" s="49" t="str">
        <f t="shared" si="70"/>
        <v/>
      </c>
      <c r="AA72" s="49" t="str">
        <f t="shared" si="70"/>
        <v/>
      </c>
      <c r="AB72" s="49" t="str">
        <f t="shared" si="70"/>
        <v/>
      </c>
      <c r="AC72" s="90" t="str">
        <f t="shared" si="70"/>
        <v/>
      </c>
    </row>
    <row r="73" spans="1:37" x14ac:dyDescent="0.35">
      <c r="A73" s="51"/>
      <c r="B73" s="46"/>
      <c r="D73" s="2" t="str">
        <f t="shared" si="1"/>
        <v/>
      </c>
      <c r="E73" s="47" t="str">
        <f>IF(A73&lt;G$11,"",ROUND((VLOOKUP(YEAR(EDATE(D73,-2)),CPI!$A:$M,MONTH(EDATE(D73,-2))+1,FALSE)*(DAY(D73)-1)+VLOOKUP(YEAR(EDATE(D73,-3)),CPI!$A:$M,MONTH(EDATE(D73,-3))+1,FALSE)*(DAY(EOMONTH(D73,0))-DAY(D73)+1))/DAY(EOMONTH(D73,0)),5))</f>
        <v/>
      </c>
      <c r="F73" s="48" t="str">
        <f>IF(A73&lt;G$11,"",VLOOKUP($A73+$B73,Quotes!$A:$AAO,$G$8,FALSE))</f>
        <v/>
      </c>
      <c r="G73" s="48" t="str">
        <f t="shared" si="2"/>
        <v/>
      </c>
      <c r="H73" s="50" t="str">
        <f t="shared" si="3"/>
        <v/>
      </c>
      <c r="I73" s="47" t="str">
        <f>IF(A73&lt;G$11,"",VLOOKUP($A73+$B73,Quotes!$A:$AAO,$G$8+2,FALSE))</f>
        <v/>
      </c>
      <c r="J73" s="50" t="str">
        <f t="shared" si="41"/>
        <v/>
      </c>
      <c r="K73" s="49" t="str">
        <f>IF(A73&lt;G$11,"",VLOOKUP($A73+$B73,Quotes!$A:$AAO,$G$8+3,FALSE))</f>
        <v/>
      </c>
      <c r="L73" s="226" t="str">
        <f t="shared" si="5"/>
        <v/>
      </c>
      <c r="M73" s="224" t="str">
        <f t="shared" si="19"/>
        <v/>
      </c>
      <c r="N73" s="114" t="str">
        <f t="shared" si="42"/>
        <v/>
      </c>
      <c r="O73" s="48" t="str">
        <f t="shared" si="43"/>
        <v/>
      </c>
      <c r="P73" s="63" t="str">
        <f t="shared" si="44"/>
        <v/>
      </c>
      <c r="Q73" s="64" t="str">
        <f t="shared" si="45"/>
        <v/>
      </c>
      <c r="R73" s="64" t="str">
        <f t="shared" si="46"/>
        <v/>
      </c>
      <c r="S73" s="64" t="str">
        <f t="shared" si="47"/>
        <v/>
      </c>
      <c r="T73" s="64" t="str">
        <f t="shared" si="48"/>
        <v/>
      </c>
      <c r="U73" s="64" t="str">
        <f t="shared" si="49"/>
        <v/>
      </c>
      <c r="V73" s="64" t="str">
        <f t="shared" si="50"/>
        <v/>
      </c>
      <c r="W73" s="64" t="str">
        <f t="shared" si="51"/>
        <v/>
      </c>
      <c r="X73" s="68" t="str">
        <f t="shared" si="52"/>
        <v/>
      </c>
      <c r="Y73" s="91" t="str">
        <f t="shared" si="20"/>
        <v/>
      </c>
      <c r="Z73" s="49" t="str">
        <f t="shared" si="70"/>
        <v/>
      </c>
      <c r="AA73" s="49" t="str">
        <f t="shared" si="70"/>
        <v/>
      </c>
      <c r="AB73" s="49" t="str">
        <f t="shared" si="70"/>
        <v/>
      </c>
      <c r="AC73" s="90" t="str">
        <f t="shared" si="70"/>
        <v/>
      </c>
    </row>
    <row r="74" spans="1:37" x14ac:dyDescent="0.35">
      <c r="A74" s="51"/>
      <c r="B74" s="46"/>
      <c r="D74" s="2" t="str">
        <f t="shared" si="1"/>
        <v/>
      </c>
      <c r="E74" s="47" t="str">
        <f>IF(A74&lt;G$11,"",ROUND((VLOOKUP(YEAR(EDATE(D74,-2)),CPI!$A:$M,MONTH(EDATE(D74,-2))+1,FALSE)*(DAY(D74)-1)+VLOOKUP(YEAR(EDATE(D74,-3)),CPI!$A:$M,MONTH(EDATE(D74,-3))+1,FALSE)*(DAY(EOMONTH(D74,0))-DAY(D74)+1))/DAY(EOMONTH(D74,0)),5))</f>
        <v/>
      </c>
      <c r="F74" s="48" t="str">
        <f>IF(A74&lt;G$11,"",VLOOKUP($A74+$B74,Quotes!$A:$AAO,$G$8,FALSE))</f>
        <v/>
      </c>
      <c r="G74" s="48" t="str">
        <f t="shared" si="2"/>
        <v/>
      </c>
      <c r="H74" s="50" t="str">
        <f t="shared" si="3"/>
        <v/>
      </c>
      <c r="I74" s="47" t="str">
        <f>IF(A74&lt;G$11,"",VLOOKUP($A74+$B74,Quotes!$A:$AAO,$G$8+2,FALSE))</f>
        <v/>
      </c>
      <c r="J74" s="50" t="str">
        <f t="shared" si="41"/>
        <v/>
      </c>
      <c r="K74" s="49" t="str">
        <f>IF(A74&lt;G$11,"",VLOOKUP($A74+$B74,Quotes!$A:$AAO,$G$8+3,FALSE))</f>
        <v/>
      </c>
      <c r="L74" s="226" t="str">
        <f t="shared" si="5"/>
        <v/>
      </c>
      <c r="M74" s="224" t="str">
        <f t="shared" si="19"/>
        <v/>
      </c>
      <c r="N74" s="114" t="str">
        <f t="shared" si="42"/>
        <v/>
      </c>
      <c r="O74" s="48" t="str">
        <f t="shared" si="43"/>
        <v/>
      </c>
      <c r="P74" s="63" t="str">
        <f t="shared" si="44"/>
        <v/>
      </c>
      <c r="Q74" s="64" t="str">
        <f t="shared" si="45"/>
        <v/>
      </c>
      <c r="R74" s="64" t="str">
        <f t="shared" si="46"/>
        <v/>
      </c>
      <c r="S74" s="64" t="str">
        <f t="shared" si="47"/>
        <v/>
      </c>
      <c r="T74" s="64" t="str">
        <f t="shared" si="48"/>
        <v/>
      </c>
      <c r="U74" s="64" t="str">
        <f t="shared" si="49"/>
        <v/>
      </c>
      <c r="V74" s="64" t="str">
        <f t="shared" si="50"/>
        <v/>
      </c>
      <c r="W74" s="64" t="str">
        <f t="shared" si="51"/>
        <v/>
      </c>
      <c r="X74" s="68" t="str">
        <f t="shared" si="52"/>
        <v/>
      </c>
      <c r="Y74" s="91" t="str">
        <f t="shared" si="20"/>
        <v/>
      </c>
      <c r="Z74" s="49" t="str">
        <f t="shared" si="70"/>
        <v/>
      </c>
      <c r="AA74" s="49" t="str">
        <f t="shared" si="70"/>
        <v/>
      </c>
      <c r="AB74" s="49" t="str">
        <f t="shared" si="70"/>
        <v/>
      </c>
      <c r="AC74" s="90" t="str">
        <f t="shared" si="70"/>
        <v/>
      </c>
    </row>
    <row r="75" spans="1:37" x14ac:dyDescent="0.35">
      <c r="A75" s="51"/>
      <c r="B75" s="46"/>
      <c r="D75" s="2" t="str">
        <f t="shared" si="1"/>
        <v/>
      </c>
      <c r="E75" s="47" t="str">
        <f>IF(A75&lt;G$11,"",ROUND((VLOOKUP(YEAR(EDATE(D75,-2)),CPI!$A:$M,MONTH(EDATE(D75,-2))+1,FALSE)*(DAY(D75)-1)+VLOOKUP(YEAR(EDATE(D75,-3)),CPI!$A:$M,MONTH(EDATE(D75,-3))+1,FALSE)*(DAY(EOMONTH(D75,0))-DAY(D75)+1))/DAY(EOMONTH(D75,0)),5))</f>
        <v/>
      </c>
      <c r="F75" s="48" t="str">
        <f>IF(A75&lt;G$11,"",VLOOKUP($A75+$B75,Quotes!$A:$AAO,$G$8,FALSE))</f>
        <v/>
      </c>
      <c r="G75" s="48" t="str">
        <f t="shared" si="2"/>
        <v/>
      </c>
      <c r="H75" s="50" t="str">
        <f t="shared" si="3"/>
        <v/>
      </c>
      <c r="I75" s="47" t="str">
        <f>IF(A75&lt;G$11,"",VLOOKUP($A75+$B75,Quotes!$A:$AAO,$G$8+2,FALSE))</f>
        <v/>
      </c>
      <c r="J75" s="50" t="str">
        <f t="shared" si="41"/>
        <v/>
      </c>
      <c r="K75" s="49" t="str">
        <f>IF(A75&lt;G$11,"",VLOOKUP($A75+$B75,Quotes!$A:$AAO,$G$8+3,FALSE))</f>
        <v/>
      </c>
      <c r="L75" s="226" t="str">
        <f t="shared" si="5"/>
        <v/>
      </c>
      <c r="M75" s="224" t="str">
        <f t="shared" si="19"/>
        <v/>
      </c>
      <c r="N75" s="114" t="str">
        <f t="shared" si="42"/>
        <v/>
      </c>
      <c r="O75" s="48" t="str">
        <f t="shared" si="43"/>
        <v/>
      </c>
      <c r="P75" s="63" t="str">
        <f t="shared" si="44"/>
        <v/>
      </c>
      <c r="Q75" s="64" t="str">
        <f t="shared" si="45"/>
        <v/>
      </c>
      <c r="R75" s="64" t="str">
        <f t="shared" si="46"/>
        <v/>
      </c>
      <c r="S75" s="64" t="str">
        <f t="shared" si="47"/>
        <v/>
      </c>
      <c r="T75" s="64" t="str">
        <f t="shared" si="48"/>
        <v/>
      </c>
      <c r="U75" s="64" t="str">
        <f t="shared" si="49"/>
        <v/>
      </c>
      <c r="V75" s="64" t="str">
        <f t="shared" si="50"/>
        <v/>
      </c>
      <c r="W75" s="64" t="str">
        <f t="shared" si="51"/>
        <v/>
      </c>
      <c r="X75" s="68" t="str">
        <f t="shared" si="52"/>
        <v/>
      </c>
      <c r="Y75" s="91" t="str">
        <f t="shared" si="20"/>
        <v/>
      </c>
      <c r="Z75" s="49" t="str">
        <f t="shared" si="70"/>
        <v/>
      </c>
      <c r="AA75" s="49" t="str">
        <f t="shared" si="70"/>
        <v/>
      </c>
      <c r="AB75" s="49" t="str">
        <f t="shared" si="70"/>
        <v/>
      </c>
      <c r="AC75" s="90" t="str">
        <f t="shared" si="70"/>
        <v/>
      </c>
    </row>
    <row r="76" spans="1:37" x14ac:dyDescent="0.35">
      <c r="A76" s="51"/>
      <c r="B76" s="46"/>
      <c r="D76" s="2" t="str">
        <f t="shared" si="1"/>
        <v/>
      </c>
      <c r="E76" s="47" t="str">
        <f>IF(A76&lt;G$11,"",ROUND((VLOOKUP(YEAR(EDATE(D76,-2)),CPI!$A:$M,MONTH(EDATE(D76,-2))+1,FALSE)*(DAY(D76)-1)+VLOOKUP(YEAR(EDATE(D76,-3)),CPI!$A:$M,MONTH(EDATE(D76,-3))+1,FALSE)*(DAY(EOMONTH(D76,0))-DAY(D76)+1))/DAY(EOMONTH(D76,0)),5))</f>
        <v/>
      </c>
      <c r="F76" s="48" t="str">
        <f>IF(A76&lt;G$11,"",VLOOKUP($A76+$B76,Quotes!$A:$AAO,$G$8,FALSE))</f>
        <v/>
      </c>
      <c r="G76" s="48" t="str">
        <f t="shared" si="2"/>
        <v/>
      </c>
      <c r="H76" s="50" t="str">
        <f t="shared" si="3"/>
        <v/>
      </c>
      <c r="I76" s="47" t="str">
        <f>IF(A76&lt;G$11,"",VLOOKUP($A76+$B76,Quotes!$A:$AAO,$G$8+2,FALSE))</f>
        <v/>
      </c>
      <c r="J76" s="50" t="str">
        <f t="shared" si="41"/>
        <v/>
      </c>
      <c r="K76" s="49" t="str">
        <f>IF(A76&lt;G$11,"",VLOOKUP($A76+$B76,Quotes!$A:$AAO,$G$8+3,FALSE))</f>
        <v/>
      </c>
      <c r="L76" s="226" t="str">
        <f t="shared" si="5"/>
        <v/>
      </c>
      <c r="M76" s="224" t="str">
        <f t="shared" si="19"/>
        <v/>
      </c>
      <c r="N76" s="114" t="str">
        <f t="shared" si="42"/>
        <v/>
      </c>
      <c r="O76" s="48" t="str">
        <f t="shared" si="43"/>
        <v/>
      </c>
      <c r="P76" s="63" t="str">
        <f t="shared" si="44"/>
        <v/>
      </c>
      <c r="Q76" s="64" t="str">
        <f t="shared" si="45"/>
        <v/>
      </c>
      <c r="R76" s="64" t="str">
        <f t="shared" si="46"/>
        <v/>
      </c>
      <c r="S76" s="64" t="str">
        <f t="shared" si="47"/>
        <v/>
      </c>
      <c r="T76" s="64" t="str">
        <f t="shared" si="48"/>
        <v/>
      </c>
      <c r="U76" s="64" t="str">
        <f t="shared" si="49"/>
        <v/>
      </c>
      <c r="V76" s="64" t="str">
        <f t="shared" si="50"/>
        <v/>
      </c>
      <c r="W76" s="64" t="str">
        <f t="shared" si="51"/>
        <v/>
      </c>
      <c r="X76" s="68" t="str">
        <f t="shared" si="52"/>
        <v/>
      </c>
      <c r="Y76" s="91" t="str">
        <f t="shared" si="20"/>
        <v/>
      </c>
      <c r="Z76" s="49" t="str">
        <f t="shared" si="70"/>
        <v/>
      </c>
      <c r="AA76" s="49" t="str">
        <f t="shared" si="70"/>
        <v/>
      </c>
      <c r="AB76" s="49" t="str">
        <f t="shared" si="70"/>
        <v/>
      </c>
      <c r="AC76" s="90" t="str">
        <f t="shared" si="70"/>
        <v/>
      </c>
    </row>
    <row r="77" spans="1:37" x14ac:dyDescent="0.35">
      <c r="A77" s="52"/>
      <c r="B77" s="53"/>
      <c r="C77" s="54"/>
      <c r="D77" s="54" t="str">
        <f t="shared" si="1"/>
        <v/>
      </c>
      <c r="E77" s="55" t="str">
        <f>IF(A77&lt;G$11,"",ROUND((VLOOKUP(YEAR(EDATE(D77,-2)),CPI!$A:$M,MONTH(EDATE(D77,-2))+1,FALSE)*(DAY(D77)-1)+VLOOKUP(YEAR(EDATE(D77,-3)),CPI!$A:$M,MONTH(EDATE(D77,-3))+1,FALSE)*(DAY(EOMONTH(D77,0))-DAY(D77)+1))/DAY(EOMONTH(D77,0)),5))</f>
        <v/>
      </c>
      <c r="F77" s="56" t="str">
        <f>IF(A77&lt;G$11,"",VLOOKUP($A77+$B77,Quotes!$A:$AAO,$G$8,FALSE))</f>
        <v/>
      </c>
      <c r="G77" s="56" t="str">
        <f t="shared" si="2"/>
        <v/>
      </c>
      <c r="H77" s="109" t="str">
        <f t="shared" si="3"/>
        <v/>
      </c>
      <c r="I77" s="55" t="str">
        <f>IF(A77&lt;G$11,"",VLOOKUP($A77+$B77,Quotes!$A:$AAO,$G$8+2,FALSE))</f>
        <v/>
      </c>
      <c r="J77" s="109" t="str">
        <f t="shared" si="41"/>
        <v/>
      </c>
      <c r="K77" s="110" t="str">
        <f>IF(A77&lt;G$11,"",VLOOKUP($A77+$B77,Quotes!$A:$AAO,$G$8+3,FALSE))</f>
        <v/>
      </c>
      <c r="L77" s="227" t="str">
        <f t="shared" si="5"/>
        <v/>
      </c>
      <c r="M77" s="225" t="str">
        <f t="shared" si="19"/>
        <v/>
      </c>
      <c r="N77" s="115" t="str">
        <f t="shared" si="42"/>
        <v/>
      </c>
      <c r="O77" s="56" t="str">
        <f t="shared" si="43"/>
        <v/>
      </c>
      <c r="P77" s="111" t="str">
        <f t="shared" si="44"/>
        <v/>
      </c>
      <c r="Q77" s="112" t="str">
        <f t="shared" si="45"/>
        <v/>
      </c>
      <c r="R77" s="112" t="str">
        <f t="shared" si="46"/>
        <v/>
      </c>
      <c r="S77" s="112" t="str">
        <f t="shared" si="47"/>
        <v/>
      </c>
      <c r="T77" s="112" t="str">
        <f t="shared" si="48"/>
        <v/>
      </c>
      <c r="U77" s="112" t="str">
        <f t="shared" si="49"/>
        <v/>
      </c>
      <c r="V77" s="112" t="str">
        <f t="shared" si="50"/>
        <v/>
      </c>
      <c r="W77" s="112" t="str">
        <f t="shared" si="51"/>
        <v/>
      </c>
      <c r="X77" s="113" t="str">
        <f t="shared" si="52"/>
        <v/>
      </c>
      <c r="Y77" s="116" t="str">
        <f t="shared" si="20"/>
        <v/>
      </c>
      <c r="Z77" s="110" t="str">
        <f t="shared" si="70"/>
        <v/>
      </c>
      <c r="AA77" s="110" t="str">
        <f t="shared" si="70"/>
        <v/>
      </c>
      <c r="AB77" s="110" t="str">
        <f t="shared" si="70"/>
        <v/>
      </c>
      <c r="AC77" s="117" t="str">
        <f t="shared" si="70"/>
        <v/>
      </c>
    </row>
    <row r="78" spans="1:37" x14ac:dyDescent="0.35">
      <c r="A78" s="185" t="s">
        <v>239</v>
      </c>
      <c r="B78" s="69"/>
      <c r="C78" s="185"/>
      <c r="D78" s="185"/>
      <c r="E78" s="186"/>
      <c r="F78" s="187">
        <f>SUM(F16:F77)</f>
        <v>1712866.0170000002</v>
      </c>
      <c r="G78" s="187"/>
      <c r="H78" s="187">
        <f>SUM(H16:H77)</f>
        <v>2091408.9211792708</v>
      </c>
      <c r="I78" s="186"/>
      <c r="J78" s="187">
        <f>SUM(J16:J77)</f>
        <v>1991323.1354233152</v>
      </c>
      <c r="K78" s="188">
        <f>SUMPRODUCT($J16:$J77,K16:K77)/$J78</f>
        <v>1.5558194270607853E-2</v>
      </c>
      <c r="L78" s="188"/>
      <c r="M78" s="188"/>
      <c r="N78" s="189"/>
      <c r="O78" s="187"/>
      <c r="P78" s="190"/>
      <c r="Q78" s="190"/>
      <c r="R78" s="190"/>
      <c r="S78" s="190"/>
      <c r="T78" s="190"/>
      <c r="U78" s="190">
        <f>SUMPRODUCT($J16:$J77,U16:U77)/$J78</f>
        <v>6.7339382127106155</v>
      </c>
      <c r="V78" s="190">
        <f>SUMPRODUCT($J16:$J77,V16:V77)/$J78</f>
        <v>6.1137338167209281</v>
      </c>
      <c r="W78" s="190">
        <f>SUMPRODUCT($J16:$J77,W16:W77)/$J78</f>
        <v>6.1718306864692956</v>
      </c>
      <c r="X78" s="191">
        <f>SUMPRODUCT($J16:$J77,X16:X77)/$J78</f>
        <v>0.10814040343742611</v>
      </c>
      <c r="Y78" s="49"/>
      <c r="Z78" s="49"/>
      <c r="AA78" s="49"/>
      <c r="AB78" s="49"/>
      <c r="AC78" s="49"/>
    </row>
    <row r="81" spans="3:37" x14ac:dyDescent="0.35">
      <c r="X81" s="92" t="str">
        <f>REPT(" ",40)</f>
        <v xml:space="preserve">                                        </v>
      </c>
    </row>
    <row r="82" spans="3:37" x14ac:dyDescent="0.35">
      <c r="X82" s="93">
        <v>21</v>
      </c>
      <c r="Y82" s="92">
        <v>9</v>
      </c>
      <c r="Z82" s="92">
        <v>9</v>
      </c>
      <c r="AA82" s="92">
        <v>9</v>
      </c>
      <c r="AB82" s="92">
        <v>10</v>
      </c>
      <c r="AC82" s="92">
        <v>10</v>
      </c>
    </row>
    <row r="83" spans="3:37" x14ac:dyDescent="0.35">
      <c r="X83" s="105" t="s">
        <v>129</v>
      </c>
      <c r="Y83" s="106" t="s">
        <v>121</v>
      </c>
      <c r="Z83" s="106" t="s">
        <v>121</v>
      </c>
      <c r="AA83" s="106" t="s">
        <v>122</v>
      </c>
      <c r="AB83" s="106" t="s">
        <v>121</v>
      </c>
      <c r="AC83" s="106" t="s">
        <v>121</v>
      </c>
    </row>
    <row r="84" spans="3:37" x14ac:dyDescent="0.35">
      <c r="D84" s="92" t="str">
        <f>REPT(" ",40)</f>
        <v xml:space="preserve">                                        </v>
      </c>
      <c r="X84" s="105"/>
    </row>
    <row r="85" spans="3:37" x14ac:dyDescent="0.35">
      <c r="D85" s="199" t="s">
        <v>240</v>
      </c>
      <c r="E85" s="200" t="s">
        <v>240</v>
      </c>
      <c r="F85" s="206" t="s">
        <v>123</v>
      </c>
      <c r="G85" s="206" t="s">
        <v>135</v>
      </c>
      <c r="H85" s="206" t="s">
        <v>135</v>
      </c>
      <c r="I85" s="207" t="s">
        <v>135</v>
      </c>
      <c r="J85" s="202" t="s">
        <v>243</v>
      </c>
      <c r="K85" s="202" t="s">
        <v>246</v>
      </c>
      <c r="L85" s="202"/>
      <c r="M85" s="202"/>
      <c r="W85" s="93" t="s">
        <v>124</v>
      </c>
      <c r="X85" s="79" t="str">
        <f>RIGHT(X$81&amp;SUBSTITUTE(X3," --&gt;",""),X$82)&amp;RIGHT(X$81&amp;TEXT(Y3,W85),Y$82)&amp;RIGHT(X$81&amp;TEXT(Z3,W85),Z$82)&amp;RIGHT(X$81&amp;TEXT(AA3,W85),AA$82)&amp;RIGHT(X$81&amp;TEXT(AB3,W85),AB$82)&amp;RIGHT(X$81&amp;TEXT(AC3,W85),AC$82)</f>
        <v xml:space="preserve">                Index    0 - 5    1 - 5   1 - 10        1+       15+</v>
      </c>
    </row>
    <row r="86" spans="3:37" x14ac:dyDescent="0.35">
      <c r="D86" s="92">
        <v>10</v>
      </c>
      <c r="E86" s="201">
        <v>11</v>
      </c>
      <c r="F86" s="201">
        <v>8</v>
      </c>
      <c r="G86" s="201">
        <v>8</v>
      </c>
      <c r="H86" s="201">
        <v>8</v>
      </c>
      <c r="I86" s="92">
        <v>8</v>
      </c>
      <c r="J86" s="92">
        <v>9</v>
      </c>
      <c r="W86" s="93" t="s">
        <v>124</v>
      </c>
      <c r="X86" s="79" t="str">
        <f>RIGHT(X$81&amp;SUBSTITUTE(X83," --&gt;",""),X$82)&amp;RIGHT(X$81&amp;TEXT(Y83,W86),Y$82)&amp;RIGHT(X$81&amp;TEXT(Z83,W86),Z$82)&amp;RIGHT(X$81&amp;TEXT(AA83,W86),AA$82)&amp;RIGHT(X$81&amp;TEXT(AB83,W86),AB$82)&amp;RIGHT(X$81&amp;TEXT(AC83,W86),AC$82)</f>
        <v xml:space="preserve">                         -----    -----   ------     -----     -----</v>
      </c>
    </row>
    <row r="87" spans="3:37" x14ac:dyDescent="0.35">
      <c r="D87" s="196" t="s">
        <v>95</v>
      </c>
      <c r="E87" s="197" t="s">
        <v>96</v>
      </c>
      <c r="F87" s="212" t="s">
        <v>252</v>
      </c>
      <c r="G87" s="212" t="s">
        <v>252</v>
      </c>
      <c r="H87" s="198" t="s">
        <v>241</v>
      </c>
      <c r="I87" s="196" t="s">
        <v>242</v>
      </c>
      <c r="J87" s="204" t="s">
        <v>245</v>
      </c>
      <c r="W87" s="94" t="s">
        <v>124</v>
      </c>
      <c r="X87" s="79" t="str">
        <f t="shared" ref="X87:X92" si="71">RIGHT(X$81&amp;SUBSTITUTE(X7," --&gt;",""),X$82)&amp;RIGHT(X$81&amp;TEXT(Y7,W87),Y$82)&amp;RIGHT(X$81&amp;TEXT(Z7,W87),Z$82)&amp;RIGHT(X$81&amp;TEXT(AA7,W87),AA$82)&amp;RIGHT(X$81&amp;TEXT(AB7,W87),AB$82)&amp;RIGHT(X$81&amp;TEXT(AC7,W87),AC$82)</f>
        <v xml:space="preserve">       Number of TIPS       26       21       32        48        15</v>
      </c>
    </row>
    <row r="88" spans="3:37" x14ac:dyDescent="0.35">
      <c r="D88" s="196" t="s">
        <v>90</v>
      </c>
      <c r="E88" s="197" t="s">
        <v>97</v>
      </c>
      <c r="F88" s="198" t="s">
        <v>0</v>
      </c>
      <c r="G88" s="198" t="s">
        <v>132</v>
      </c>
      <c r="H88" s="203" t="s">
        <v>244</v>
      </c>
      <c r="I88" s="204" t="s">
        <v>244</v>
      </c>
      <c r="J88" s="208" t="str">
        <f>"Yld "&amp;TEXT(R15,"+0%")</f>
        <v>Yld +2%</v>
      </c>
      <c r="N88"/>
      <c r="O88"/>
      <c r="P88"/>
      <c r="Q88"/>
      <c r="R88"/>
      <c r="S88"/>
      <c r="T88"/>
      <c r="U88"/>
      <c r="V88"/>
      <c r="W88" s="94" t="s">
        <v>123</v>
      </c>
      <c r="X88" s="79" t="str">
        <f t="shared" si="71"/>
        <v>Avg yield to maturity    1.30%    1.23%    1.37%     1.55%     2.38%</v>
      </c>
    </row>
    <row r="89" spans="3:37" x14ac:dyDescent="0.35">
      <c r="D89" s="196" t="str">
        <f t="shared" ref="D89:J89" si="72">REPT("-",MAX(LEN(D87),LEN(D88),LEN(D85)-1))</f>
        <v>---------</v>
      </c>
      <c r="E89" s="196" t="str">
        <f t="shared" si="72"/>
        <v>--------</v>
      </c>
      <c r="F89" s="196" t="str">
        <f t="shared" si="72"/>
        <v>-----</v>
      </c>
      <c r="G89" s="196" t="str">
        <f t="shared" si="72"/>
        <v>----</v>
      </c>
      <c r="H89" s="196" t="str">
        <f t="shared" si="72"/>
        <v>------</v>
      </c>
      <c r="I89" s="196" t="str">
        <f t="shared" si="72"/>
        <v>------</v>
      </c>
      <c r="J89" s="196" t="str">
        <f t="shared" si="72"/>
        <v>-------</v>
      </c>
      <c r="N89"/>
      <c r="O89"/>
      <c r="P89"/>
      <c r="Q89"/>
      <c r="R89"/>
      <c r="S89"/>
      <c r="T89"/>
      <c r="U89"/>
      <c r="W89" s="94" t="s">
        <v>135</v>
      </c>
      <c r="X89" s="79" t="str">
        <f t="shared" si="71"/>
        <v xml:space="preserve">         Average life     2.44     2.95     4.62      7.57     21.16</v>
      </c>
    </row>
    <row r="90" spans="3:37" x14ac:dyDescent="0.35">
      <c r="E90" s="205"/>
      <c r="F90" s="205"/>
      <c r="G90" s="205"/>
      <c r="H90" s="205"/>
      <c r="N90"/>
      <c r="O90"/>
      <c r="P90"/>
      <c r="Q90"/>
      <c r="R90"/>
      <c r="S90"/>
      <c r="T90"/>
      <c r="U90"/>
      <c r="W90" s="94" t="str">
        <f>W89</f>
        <v>#0.00</v>
      </c>
      <c r="X90" s="79" t="str">
        <f t="shared" si="71"/>
        <v>Avg Macaulay Duration     2.40     2.90     4.44      6.93     18.43</v>
      </c>
    </row>
    <row r="91" spans="3:37" x14ac:dyDescent="0.35">
      <c r="N91"/>
      <c r="O91"/>
      <c r="P91"/>
      <c r="Q91"/>
      <c r="R91"/>
      <c r="S91"/>
      <c r="T91"/>
      <c r="U91"/>
      <c r="W91" s="94" t="str">
        <f>W90</f>
        <v>#0.00</v>
      </c>
      <c r="X91" s="79" t="str">
        <f t="shared" si="71"/>
        <v>Avg Modified Duration     2.38     2.88     4.41      6.86     18.21</v>
      </c>
    </row>
    <row r="92" spans="3:37" x14ac:dyDescent="0.35">
      <c r="D92" s="79" t="str">
        <f>RIGHT(D$84&amp;D84,D$86)&amp;RIGHT(D$84&amp;E81,E$86)&amp;RIGHT(D$84&amp;F81,F$86)&amp;RIGHT(D$84&amp;G81,G$86)&amp;RIGHT(D$84&amp;H81,H$86)&amp;RIGHT(D$84&amp;I81,I$86)&amp;RIGHT(D$84&amp;J81,J$86)</f>
        <v xml:space="preserve">                                                              </v>
      </c>
      <c r="N92"/>
      <c r="O92"/>
      <c r="P92"/>
      <c r="Q92"/>
      <c r="R92"/>
      <c r="S92"/>
      <c r="T92"/>
      <c r="U92"/>
      <c r="W92" s="94" t="s">
        <v>123</v>
      </c>
      <c r="X92" s="79" t="str">
        <f t="shared" si="71"/>
        <v>Fall if rates rise 2%    4.59%    5.54%    8.29%    12.13%    29.78%</v>
      </c>
    </row>
    <row r="93" spans="3:37" x14ac:dyDescent="0.35">
      <c r="D93" s="79" t="str">
        <f>RIGHT(D$84&amp;D87,D$86)&amp;RIGHT(D$84&amp;E87,E$86)&amp;RIGHT(D$84&amp;F87,F$86)&amp;RIGHT(D$84&amp;G87,G$86)&amp;RIGHT(D$84&amp;H87,H$86)&amp;RIGHT(D$84&amp;I87,I$86)&amp;RIGHT(D$84&amp;J87,J$86)</f>
        <v xml:space="preserve">   Indexed     Market     Avg     Avg     Mod     Mac  Fall If</v>
      </c>
    </row>
    <row r="94" spans="3:37" x14ac:dyDescent="0.35">
      <c r="D94" s="79" t="str">
        <f>RIGHT(D$84&amp;D88,D$86)&amp;RIGHT(D$84&amp;E88,E$86)&amp;RIGHT(D$84&amp;F88,F$86)&amp;RIGHT(D$84&amp;G88,G$86)&amp;RIGHT(D$84&amp;H88,H$86)&amp;RIGHT(D$84&amp;I88,I$86)&amp;RIGHT(D$84&amp;J88,J$86)</f>
        <v xml:space="preserve"> Principal      Value   Yield    Life  Duratn  Duratn  Yld +2%</v>
      </c>
    </row>
    <row r="95" spans="3:37" x14ac:dyDescent="0.35">
      <c r="D95" s="79" t="str">
        <f>RIGHT(D$84&amp;D89,D$86)&amp;RIGHT(D$84&amp;E89,E$86)&amp;RIGHT(D$84&amp;F89,F$86)&amp;RIGHT(D$84&amp;G89,G$86)&amp;RIGHT(D$84&amp;H89,H$86)&amp;RIGHT(D$84&amp;I89,I$86)&amp;RIGHT(D$84&amp;J89,J$86)</f>
        <v xml:space="preserve"> ---------   --------   -----    ----  ------  ------  -------</v>
      </c>
    </row>
    <row r="96" spans="3:37" customFormat="1" x14ac:dyDescent="0.35">
      <c r="C96" s="209"/>
      <c r="D96" s="210" t="str">
        <f>RIGHT(D$84&amp;TEXT(H78,D$85),D$86)&amp;RIGHT(D$84&amp;TEXT(J78,E$85),E$86)&amp;RIGHT(D$84&amp;TEXT(K78,F$85),F$86)&amp;RIGHT(D$84&amp;TEXT(U78,G$85),G$86)&amp;RIGHT(D$84&amp;TEXT(V78,H$85),H$86)&amp;RIGHT(D$84&amp;TEXT(W78,I$85),I$86)&amp;RIGHT(D$84&amp;TEXT(X78,J$85),J$86)&amp;"  "&amp;TEXT(G$9,K$85)</f>
        <v xml:space="preserve"> 2,091,409  1,991,323   1.56%    6.73    6.11    6.17   10.81%  11/07/2025 Friday</v>
      </c>
      <c r="E96" s="7"/>
      <c r="F96" s="8"/>
      <c r="G96" s="8"/>
      <c r="H96" s="8"/>
      <c r="I96" s="2"/>
      <c r="J96" s="2"/>
      <c r="K96" s="2"/>
      <c r="L96" s="2"/>
      <c r="M96" s="2"/>
      <c r="W96" s="2"/>
      <c r="X96" s="72" t="str">
        <f>REPT(" ",40)</f>
        <v xml:space="preserve">                                        </v>
      </c>
      <c r="Y96" s="146">
        <v>1</v>
      </c>
      <c r="Z96" t="s">
        <v>210</v>
      </c>
      <c r="AB96" s="8"/>
      <c r="AC96" s="2"/>
      <c r="AE96" s="125"/>
      <c r="AF96" s="126"/>
      <c r="AH96" s="128"/>
      <c r="AI96" s="128"/>
      <c r="AJ96" s="126"/>
      <c r="AK96" s="128"/>
    </row>
    <row r="97" spans="3:37" customFormat="1" x14ac:dyDescent="0.35">
      <c r="C97" s="209">
        <v>1</v>
      </c>
      <c r="D97" s="210" t="str">
        <f t="dataTable" ref="D97:D119" dt2D="0" dtr="0" r1="G7" ca="1"/>
        <v xml:space="preserve"> 2,091,409  1,991,323   1.56%    6.73    6.11    6.17   10.81%  11/07/2025 Friday</v>
      </c>
      <c r="E97" s="7"/>
      <c r="F97" s="8"/>
      <c r="G97" s="8"/>
      <c r="H97" s="8"/>
      <c r="I97" s="2"/>
      <c r="J97" s="2"/>
      <c r="K97" s="2"/>
      <c r="L97" s="2"/>
      <c r="M97" s="2"/>
      <c r="W97" s="2"/>
      <c r="X97" s="73" t="s">
        <v>124</v>
      </c>
      <c r="Y97" s="73" t="s">
        <v>124</v>
      </c>
      <c r="Z97" s="73" t="s">
        <v>124</v>
      </c>
      <c r="AA97" s="73" t="s">
        <v>124</v>
      </c>
      <c r="AB97" s="73" t="s">
        <v>124</v>
      </c>
      <c r="AC97" s="73" t="s">
        <v>124</v>
      </c>
      <c r="AE97" s="125"/>
      <c r="AF97" s="126"/>
      <c r="AH97" s="128"/>
      <c r="AI97" s="128"/>
      <c r="AJ97" s="126"/>
      <c r="AK97" s="128"/>
    </row>
    <row r="98" spans="3:37" customFormat="1" x14ac:dyDescent="0.35">
      <c r="C98" s="209">
        <v>2</v>
      </c>
      <c r="D98" s="210" t="str">
        <v xml:space="preserve"> 2,091,231  1,992,846   1.54%    6.75    6.13    6.18   10.84%  11/06/2025 Thursday</v>
      </c>
      <c r="E98" s="7"/>
      <c r="F98" s="8"/>
      <c r="G98" s="8"/>
      <c r="H98" s="8"/>
      <c r="I98" s="2"/>
      <c r="J98" s="2"/>
      <c r="K98" s="2"/>
      <c r="L98" s="2"/>
      <c r="M98" s="2"/>
      <c r="W98" s="2"/>
      <c r="X98" s="73" t="s">
        <v>124</v>
      </c>
      <c r="Y98" s="73" t="s">
        <v>124</v>
      </c>
      <c r="Z98" s="73" t="s">
        <v>124</v>
      </c>
      <c r="AA98" s="73" t="s">
        <v>124</v>
      </c>
      <c r="AB98" s="73" t="s">
        <v>124</v>
      </c>
      <c r="AC98" s="73" t="s">
        <v>124</v>
      </c>
      <c r="AE98" s="125"/>
      <c r="AF98" s="126"/>
      <c r="AH98" s="128"/>
      <c r="AI98" s="128"/>
      <c r="AJ98" s="126"/>
      <c r="AK98" s="128"/>
    </row>
    <row r="99" spans="3:37" customFormat="1" x14ac:dyDescent="0.35">
      <c r="C99" s="209">
        <v>3</v>
      </c>
      <c r="D99" s="210" t="str">
        <v xml:space="preserve"> 2,091,053  1,988,451   1.57%    6.74    6.12    6.18   10.82%  11/05/2025 Wednesday</v>
      </c>
      <c r="E99" s="7"/>
      <c r="F99" s="8"/>
      <c r="G99" s="8"/>
      <c r="H99" s="8"/>
      <c r="I99" s="2"/>
      <c r="J99" s="2"/>
      <c r="K99" s="2"/>
      <c r="L99" s="2"/>
      <c r="M99" s="2"/>
      <c r="W99" s="2"/>
      <c r="X99" s="145" t="str">
        <f>IF(Y96&lt;=0,"#,##0",IF(OR(Y96=1,Y96=5),"#0.00%","#0.00"))</f>
        <v>#0.00%</v>
      </c>
      <c r="Y99" s="75" t="str">
        <f>X99</f>
        <v>#0.00%</v>
      </c>
      <c r="Z99" s="75" t="str">
        <f t="shared" ref="Z99:AB99" si="73">Y99</f>
        <v>#0.00%</v>
      </c>
      <c r="AA99" s="75" t="str">
        <f t="shared" si="73"/>
        <v>#0.00%</v>
      </c>
      <c r="AB99" s="75" t="str">
        <f t="shared" si="73"/>
        <v>#0.00%</v>
      </c>
      <c r="AC99" s="93" t="s">
        <v>140</v>
      </c>
      <c r="AE99" s="125"/>
      <c r="AF99" s="126"/>
      <c r="AH99" s="128"/>
      <c r="AI99" s="128"/>
      <c r="AJ99" s="126"/>
      <c r="AK99" s="128"/>
    </row>
    <row r="100" spans="3:37" customFormat="1" x14ac:dyDescent="0.35">
      <c r="C100" s="209">
        <v>4</v>
      </c>
      <c r="D100" s="210" t="str">
        <v xml:space="preserve"> 2,090,876  1,994,452   1.51%    6.76    6.14    6.20   10.86%  11/04/2025 Tuesday</v>
      </c>
      <c r="E100" s="7"/>
      <c r="F100" s="8"/>
      <c r="G100" s="8"/>
      <c r="H100" s="8"/>
      <c r="I100" s="2"/>
      <c r="J100" s="2"/>
      <c r="W100" s="2"/>
      <c r="X100" s="74">
        <v>5</v>
      </c>
      <c r="Y100" s="75">
        <v>8</v>
      </c>
      <c r="Z100" s="75">
        <v>9</v>
      </c>
      <c r="AA100" s="75">
        <v>8</v>
      </c>
      <c r="AB100" s="75">
        <v>8</v>
      </c>
      <c r="AC100" s="2"/>
      <c r="AE100" s="125"/>
      <c r="AF100" s="126"/>
      <c r="AH100" s="128"/>
      <c r="AI100" s="128"/>
      <c r="AJ100" s="126"/>
      <c r="AK100" s="128"/>
    </row>
    <row r="101" spans="3:37" customFormat="1" x14ac:dyDescent="0.35">
      <c r="C101" s="209">
        <v>5</v>
      </c>
      <c r="D101" s="210" t="str">
        <v xml:space="preserve"> 2,062,618  1,966,246   1.53%    6.80    6.17    6.23   10.90%  10/31/2025 Friday</v>
      </c>
      <c r="E101" s="7"/>
      <c r="F101" s="8"/>
      <c r="G101" s="8"/>
      <c r="H101" s="8"/>
      <c r="I101" s="2"/>
      <c r="J101" s="2"/>
      <c r="W101" s="2"/>
      <c r="X101" s="2"/>
      <c r="Y101" s="7"/>
      <c r="Z101" s="8"/>
      <c r="AA101" s="8"/>
      <c r="AB101" s="8"/>
      <c r="AC101" s="2"/>
      <c r="AE101" s="125"/>
      <c r="AF101" s="126"/>
      <c r="AH101" s="128"/>
      <c r="AI101" s="128"/>
      <c r="AJ101" s="126"/>
      <c r="AK101" s="128"/>
    </row>
    <row r="102" spans="3:37" customFormat="1" x14ac:dyDescent="0.35">
      <c r="C102" s="209">
        <v>6</v>
      </c>
      <c r="D102" s="210" t="e">
        <v>#NUM!</v>
      </c>
      <c r="E102" s="7"/>
      <c r="F102" s="8"/>
      <c r="G102" s="8"/>
      <c r="H102" s="8"/>
      <c r="J102" s="2"/>
      <c r="W102" s="2"/>
      <c r="X102" s="76" t="s">
        <v>126</v>
      </c>
      <c r="Y102" s="80" t="s">
        <v>127</v>
      </c>
      <c r="Z102" s="76" t="s">
        <v>128</v>
      </c>
      <c r="AA102" s="80" t="s">
        <v>130</v>
      </c>
      <c r="AB102" s="80" t="s">
        <v>131</v>
      </c>
      <c r="AC102" s="81" t="s">
        <v>125</v>
      </c>
      <c r="AE102" s="125"/>
      <c r="AF102" s="126"/>
      <c r="AH102" s="128"/>
      <c r="AI102" s="128"/>
      <c r="AJ102" s="126"/>
      <c r="AK102" s="128"/>
    </row>
    <row r="103" spans="3:37" customFormat="1" x14ac:dyDescent="0.35">
      <c r="C103" s="209">
        <v>7</v>
      </c>
      <c r="D103" s="210" t="e">
        <v>#NUM!</v>
      </c>
      <c r="E103" s="7"/>
      <c r="F103" s="8"/>
      <c r="G103" s="8"/>
      <c r="H103" s="8"/>
      <c r="J103" s="2"/>
      <c r="W103" s="2"/>
      <c r="X103" s="77" t="s">
        <v>121</v>
      </c>
      <c r="Y103" s="80" t="s">
        <v>121</v>
      </c>
      <c r="Z103" s="80" t="s">
        <v>122</v>
      </c>
      <c r="AA103" s="80" t="s">
        <v>121</v>
      </c>
      <c r="AB103" s="80" t="s">
        <v>121</v>
      </c>
      <c r="AC103" s="79" t="s">
        <v>129</v>
      </c>
      <c r="AE103" s="125"/>
      <c r="AF103" s="126"/>
      <c r="AH103" s="128"/>
      <c r="AI103" s="128"/>
      <c r="AJ103" s="126"/>
      <c r="AK103" s="128"/>
    </row>
    <row r="104" spans="3:37" customFormat="1" x14ac:dyDescent="0.35">
      <c r="C104" s="209">
        <v>8</v>
      </c>
      <c r="D104" s="210" t="e">
        <v>#NUM!</v>
      </c>
      <c r="E104" s="7"/>
      <c r="F104" s="8"/>
      <c r="G104" s="8"/>
      <c r="H104" s="8"/>
      <c r="J104" s="2"/>
      <c r="W104" s="2"/>
      <c r="X104" s="78">
        <f ca="1">OFFSET(Y7,$Y96,0)</f>
        <v>1.3027437774320675E-2</v>
      </c>
      <c r="Y104" s="78">
        <f ca="1">OFFSET(Z7,$Y96,0)</f>
        <v>1.2300667954737643E-2</v>
      </c>
      <c r="Z104" s="78">
        <f ca="1">OFFSET(AA7,$Y96,0)</f>
        <v>1.3701459608613934E-2</v>
      </c>
      <c r="AA104" s="78">
        <f ca="1">OFFSET(AB7,$Y96,0)</f>
        <v>1.5523548538411399E-2</v>
      </c>
      <c r="AB104" s="78">
        <f ca="1">OFFSET(AC7,$Y96,0)</f>
        <v>2.3841143698645616E-2</v>
      </c>
      <c r="AC104" s="107">
        <f>G9</f>
        <v>45968</v>
      </c>
      <c r="AE104" s="125"/>
      <c r="AF104" s="126"/>
      <c r="AH104" s="128"/>
      <c r="AI104" s="128"/>
      <c r="AJ104" s="126"/>
      <c r="AK104" s="128"/>
    </row>
    <row r="105" spans="3:37" customFormat="1" x14ac:dyDescent="0.35">
      <c r="C105" s="209">
        <v>9</v>
      </c>
      <c r="D105" s="210" t="e">
        <v>#NUM!</v>
      </c>
      <c r="E105" s="7"/>
      <c r="F105" s="8"/>
      <c r="G105" s="8"/>
      <c r="H105" s="8"/>
      <c r="J105" s="2"/>
      <c r="W105" s="2"/>
      <c r="X105" s="2"/>
      <c r="Y105" s="7"/>
      <c r="Z105" s="8"/>
      <c r="AA105" s="8"/>
      <c r="AB105" s="8"/>
      <c r="AC105" s="2"/>
      <c r="AE105" s="125"/>
      <c r="AF105" s="126"/>
      <c r="AH105" s="128"/>
      <c r="AI105" s="128"/>
      <c r="AJ105" s="126"/>
      <c r="AK105" s="128"/>
    </row>
    <row r="106" spans="3:37" customFormat="1" x14ac:dyDescent="0.35">
      <c r="C106" s="209">
        <v>10</v>
      </c>
      <c r="D106" s="210" t="e">
        <v>#NUM!</v>
      </c>
      <c r="E106" s="7"/>
      <c r="F106" s="8"/>
      <c r="G106" s="8"/>
      <c r="H106" s="8"/>
      <c r="J106" s="2"/>
      <c r="W106" s="2"/>
      <c r="X106" s="79" t="str">
        <f>RIGHT(X$96&amp;TEXT(X102,X97),X$100)&amp;RIGHT(X$96&amp;TEXT(Y102,Y97),Y$100)&amp;RIGHT(X$96&amp;TEXT(Z102,Z97),Z$100)&amp;RIGHT(X$96&amp;TEXT(AA102,AA97),AA$100)&amp;RIGHT(X$96&amp;TEXT(AB102,AB97),AB$100)&amp;"  "&amp;TEXT(AC102,AC97)</f>
        <v>0 - 5   1 - 5   1 - 10     1+     15+   &lt;-- index</v>
      </c>
      <c r="Y106" s="7"/>
      <c r="Z106" s="8"/>
      <c r="AA106" s="8"/>
      <c r="AB106" s="8"/>
      <c r="AC106" s="2"/>
      <c r="AE106" s="125"/>
      <c r="AF106" s="126"/>
      <c r="AH106" s="128"/>
      <c r="AI106" s="128"/>
      <c r="AJ106" s="126"/>
      <c r="AK106" s="128"/>
    </row>
    <row r="107" spans="3:37" customFormat="1" x14ac:dyDescent="0.35">
      <c r="C107" s="209">
        <v>11</v>
      </c>
      <c r="D107" s="210" t="e">
        <v>#NUM!</v>
      </c>
      <c r="E107" s="7"/>
      <c r="F107" s="8"/>
      <c r="G107" s="8"/>
      <c r="H107" s="8"/>
      <c r="J107" s="2"/>
      <c r="W107" s="2"/>
      <c r="X107" s="79" t="str">
        <f>RIGHT(X$96&amp;TEXT(X103,X98),X$100)&amp;RIGHT(X$96&amp;TEXT(Y103,Y98),Y$100)&amp;RIGHT(X$96&amp;TEXT(Z103,Z98),Z$100)&amp;RIGHT(X$96&amp;TEXT(AA103,AA98),AA$100)&amp;RIGHT(X$96&amp;TEXT(AB103,AB98),AB$100)&amp;"  "&amp;TEXT(AC103,AC98)</f>
        <v xml:space="preserve">-----   -----   ------   -----   -----   </v>
      </c>
      <c r="Y107" s="7"/>
      <c r="Z107" s="8"/>
      <c r="AA107" s="8"/>
      <c r="AB107" s="8"/>
      <c r="AC107" s="2"/>
      <c r="AE107" s="125"/>
      <c r="AF107" s="126"/>
      <c r="AH107" s="128"/>
      <c r="AI107" s="128"/>
      <c r="AJ107" s="126"/>
      <c r="AK107" s="128"/>
    </row>
    <row r="108" spans="3:37" customFormat="1" x14ac:dyDescent="0.35">
      <c r="C108" s="209">
        <v>12</v>
      </c>
      <c r="D108" s="210" t="e">
        <v>#NUM!</v>
      </c>
      <c r="E108" s="7"/>
      <c r="F108" s="8"/>
      <c r="G108" s="8"/>
      <c r="H108" s="8"/>
      <c r="J108" s="2"/>
      <c r="W108" s="210"/>
      <c r="X108" s="210" t="str">
        <f ca="1">RIGHT(X$96&amp;TEXT(X104,X99),X$100)&amp;RIGHT(X$96&amp;TEXT(Y104,Y99),Y$100)&amp;RIGHT(X$96&amp;TEXT(Z104,Z99),Z$100)&amp;RIGHT(X$96&amp;TEXT(AA104,AA99),AA$100)&amp;RIGHT(X$96&amp;TEXT(AB104,AB99),AB$100)&amp;"  "&amp;TEXT(AC104,AC99)</f>
        <v>1.30%   1.23%    1.37%   1.55%   2.38%  11/07/2025 Friday</v>
      </c>
      <c r="Y108" s="7"/>
      <c r="Z108" s="8"/>
      <c r="AA108" s="8"/>
      <c r="AB108" s="8"/>
      <c r="AC108" s="2"/>
      <c r="AE108" s="125"/>
      <c r="AF108" s="126"/>
      <c r="AH108" s="128"/>
      <c r="AI108" s="128"/>
      <c r="AJ108" s="126"/>
      <c r="AK108" s="128"/>
    </row>
    <row r="109" spans="3:37" customFormat="1" x14ac:dyDescent="0.35">
      <c r="C109" s="209">
        <v>13</v>
      </c>
      <c r="D109" s="210" t="e">
        <v>#NUM!</v>
      </c>
      <c r="E109" s="7"/>
      <c r="F109" s="8"/>
      <c r="G109" s="8"/>
      <c r="H109" s="8"/>
      <c r="J109" s="2"/>
      <c r="W109" s="210">
        <v>1</v>
      </c>
      <c r="X109" s="214" t="str">
        <f t="dataTable" ref="X109:X131" dt2D="0" dtr="0" r1="G7" ca="1"/>
        <v>1.30%   1.23%    1.37%   1.55%   2.38%  11/07/2025 Friday</v>
      </c>
      <c r="Y109" s="7"/>
      <c r="Z109" s="8"/>
      <c r="AA109" s="8"/>
      <c r="AB109" s="8"/>
      <c r="AC109" s="2"/>
      <c r="AE109" s="125"/>
      <c r="AF109" s="126"/>
      <c r="AH109" s="128"/>
      <c r="AI109" s="128"/>
      <c r="AJ109" s="126"/>
      <c r="AK109" s="128"/>
    </row>
    <row r="110" spans="3:37" customFormat="1" x14ac:dyDescent="0.35">
      <c r="C110" s="209">
        <v>14</v>
      </c>
      <c r="D110" s="210" t="e">
        <v>#NUM!</v>
      </c>
      <c r="E110" s="7"/>
      <c r="F110" s="8"/>
      <c r="G110" s="8"/>
      <c r="H110" s="8"/>
      <c r="J110" s="2"/>
      <c r="W110" s="210">
        <v>2</v>
      </c>
      <c r="X110" s="214" t="str">
        <v>1.28%   1.21%    1.35%   1.54%   2.37%  11/06/2025 Thursday</v>
      </c>
      <c r="Y110" s="7"/>
      <c r="Z110" s="8"/>
      <c r="AA110" s="8"/>
      <c r="AB110" s="8"/>
      <c r="AC110" s="2"/>
      <c r="AE110" s="125"/>
      <c r="AF110" s="126"/>
      <c r="AH110" s="128"/>
      <c r="AI110" s="128"/>
      <c r="AJ110" s="126"/>
      <c r="AK110" s="128"/>
    </row>
    <row r="111" spans="3:37" customFormat="1" x14ac:dyDescent="0.35">
      <c r="C111" s="209">
        <v>15</v>
      </c>
      <c r="D111" s="210" t="e">
        <v>#NUM!</v>
      </c>
      <c r="E111" s="7"/>
      <c r="F111" s="8"/>
      <c r="G111" s="8"/>
      <c r="H111" s="8"/>
      <c r="J111" s="2"/>
      <c r="W111" s="210">
        <v>3</v>
      </c>
      <c r="X111" s="214" t="str">
        <v>1.30%   1.24%    1.39%   1.57%   2.40%  11/05/2025 Wednesday</v>
      </c>
      <c r="AE111" s="125"/>
      <c r="AF111" s="126"/>
      <c r="AH111" s="128"/>
      <c r="AI111" s="128"/>
      <c r="AJ111" s="126"/>
      <c r="AK111" s="128"/>
    </row>
    <row r="112" spans="3:37" customFormat="1" x14ac:dyDescent="0.35">
      <c r="C112" s="209">
        <v>16</v>
      </c>
      <c r="D112" s="210" t="e">
        <v>#NUM!</v>
      </c>
      <c r="E112" s="7"/>
      <c r="F112" s="8"/>
      <c r="G112" s="8"/>
      <c r="H112" s="8"/>
      <c r="J112" s="2"/>
      <c r="W112" s="210">
        <v>4</v>
      </c>
      <c r="X112" s="214" t="str">
        <v>1.24%   1.18%    1.33%   1.51%   2.36%  11/04/2025 Tuesday</v>
      </c>
      <c r="AE112" s="125"/>
      <c r="AF112" s="126"/>
      <c r="AH112" s="128"/>
      <c r="AI112" s="128"/>
      <c r="AJ112" s="126"/>
      <c r="AK112" s="128"/>
    </row>
    <row r="113" spans="3:37" customFormat="1" x14ac:dyDescent="0.35">
      <c r="C113" s="209">
        <v>17</v>
      </c>
      <c r="D113" s="210" t="e">
        <v>#NUM!</v>
      </c>
      <c r="E113" s="7"/>
      <c r="F113" s="8"/>
      <c r="G113" s="8"/>
      <c r="H113" s="8"/>
      <c r="J113" s="2"/>
      <c r="W113" s="210">
        <v>5</v>
      </c>
      <c r="X113" s="214" t="str">
        <v>1.26%   1.20%    1.35%   1.53%   2.34%  10/31/2025 Friday</v>
      </c>
      <c r="AE113" s="125"/>
      <c r="AF113" s="126"/>
      <c r="AH113" s="128"/>
      <c r="AI113" s="128"/>
      <c r="AJ113" s="126"/>
      <c r="AK113" s="128"/>
    </row>
    <row r="114" spans="3:37" customFormat="1" x14ac:dyDescent="0.35">
      <c r="C114" s="209">
        <v>18</v>
      </c>
      <c r="D114" s="210" t="e">
        <v>#NUM!</v>
      </c>
      <c r="E114" s="7"/>
      <c r="F114" s="8"/>
      <c r="G114" s="8"/>
      <c r="H114" s="8"/>
      <c r="J114" s="2"/>
      <c r="W114" s="210">
        <v>6</v>
      </c>
      <c r="X114" s="210" t="str">
        <v xml:space="preserve">0.00%   0.00%    0.00%   0.00%   0.00%  </v>
      </c>
      <c r="AE114" s="125"/>
      <c r="AF114" s="126"/>
      <c r="AH114" s="128"/>
      <c r="AI114" s="128"/>
      <c r="AJ114" s="126"/>
      <c r="AK114" s="128"/>
    </row>
    <row r="115" spans="3:37" customFormat="1" x14ac:dyDescent="0.35">
      <c r="C115" s="209">
        <v>19</v>
      </c>
      <c r="D115" s="210" t="e">
        <v>#NUM!</v>
      </c>
      <c r="E115" s="7"/>
      <c r="F115" s="8"/>
      <c r="G115" s="8"/>
      <c r="H115" s="8"/>
      <c r="J115" s="2"/>
      <c r="W115" s="210">
        <v>7</v>
      </c>
      <c r="X115" s="210" t="str">
        <v xml:space="preserve">0.00%   0.00%    0.00%   0.00%   0.00%  </v>
      </c>
      <c r="AE115" s="125"/>
      <c r="AF115" s="126"/>
      <c r="AH115" s="128"/>
      <c r="AI115" s="128"/>
      <c r="AJ115" s="126"/>
      <c r="AK115" s="128"/>
    </row>
    <row r="116" spans="3:37" customFormat="1" x14ac:dyDescent="0.35">
      <c r="C116" s="209">
        <v>20</v>
      </c>
      <c r="D116" s="210" t="e">
        <v>#NUM!</v>
      </c>
      <c r="E116" s="7"/>
      <c r="F116" s="8"/>
      <c r="G116" s="8"/>
      <c r="H116" s="8"/>
      <c r="J116" s="2"/>
      <c r="W116" s="210">
        <v>8</v>
      </c>
      <c r="X116" s="210" t="str">
        <v xml:space="preserve">0.00%   0.00%    0.00%   0.00%   0.00%  </v>
      </c>
      <c r="AE116" s="125"/>
      <c r="AF116" s="126"/>
      <c r="AH116" s="128"/>
      <c r="AI116" s="128"/>
      <c r="AJ116" s="126"/>
      <c r="AK116" s="128"/>
    </row>
    <row r="117" spans="3:37" x14ac:dyDescent="0.35">
      <c r="C117" s="209">
        <v>21</v>
      </c>
      <c r="D117" s="210" t="e">
        <v>#NUM!</v>
      </c>
      <c r="I117"/>
      <c r="K117"/>
      <c r="L117"/>
      <c r="M117"/>
      <c r="W117" s="210">
        <v>9</v>
      </c>
      <c r="X117" s="210" t="str">
        <v xml:space="preserve">0.00%   0.00%    0.00%   0.00%   0.00%  </v>
      </c>
      <c r="Y117"/>
      <c r="Z117"/>
      <c r="AA117"/>
      <c r="AB117"/>
      <c r="AC117"/>
    </row>
    <row r="118" spans="3:37" x14ac:dyDescent="0.35">
      <c r="C118" s="209">
        <v>22</v>
      </c>
      <c r="D118" s="210" t="e">
        <v>#NUM!</v>
      </c>
      <c r="I118"/>
      <c r="K118"/>
      <c r="L118"/>
      <c r="M118"/>
      <c r="W118" s="210">
        <v>10</v>
      </c>
      <c r="X118" s="210" t="str">
        <v xml:space="preserve">0.00%   0.00%    0.00%   0.00%   0.00%  </v>
      </c>
      <c r="Y118"/>
      <c r="Z118"/>
      <c r="AA118"/>
      <c r="AB118"/>
      <c r="AC118"/>
    </row>
    <row r="119" spans="3:37" x14ac:dyDescent="0.35">
      <c r="C119" s="209">
        <v>23</v>
      </c>
      <c r="D119" s="210" t="e">
        <v>#NUM!</v>
      </c>
      <c r="I119"/>
      <c r="K119"/>
      <c r="L119"/>
      <c r="M119"/>
      <c r="W119" s="210">
        <v>11</v>
      </c>
      <c r="X119" s="210" t="str">
        <v xml:space="preserve">0.00%   0.00%    0.00%   0.00%   0.00%  </v>
      </c>
      <c r="Y119"/>
      <c r="Z119"/>
      <c r="AA119"/>
      <c r="AB119"/>
      <c r="AC119"/>
    </row>
    <row r="120" spans="3:37" x14ac:dyDescent="0.35">
      <c r="D120" s="79"/>
      <c r="I120"/>
      <c r="K120"/>
      <c r="L120"/>
      <c r="M120"/>
      <c r="W120" s="210">
        <v>12</v>
      </c>
      <c r="X120" s="210" t="str">
        <v xml:space="preserve">0.00%   0.00%    0.00%   0.00%   0.00%  </v>
      </c>
      <c r="Y120"/>
      <c r="Z120"/>
      <c r="AA120"/>
      <c r="AB120"/>
      <c r="AC120"/>
    </row>
    <row r="121" spans="3:37" x14ac:dyDescent="0.35">
      <c r="D121" s="79" t="s">
        <v>254</v>
      </c>
      <c r="I121"/>
      <c r="W121" s="210">
        <v>13</v>
      </c>
      <c r="X121" s="210" t="str">
        <v xml:space="preserve">0.00%   0.00%    0.00%   0.00%   0.00%  </v>
      </c>
      <c r="Y121"/>
      <c r="Z121"/>
      <c r="AA121"/>
      <c r="AB121"/>
      <c r="AC121"/>
    </row>
    <row r="122" spans="3:37" x14ac:dyDescent="0.35">
      <c r="D122" s="79" t="s">
        <v>247</v>
      </c>
      <c r="I122"/>
      <c r="W122" s="210">
        <v>14</v>
      </c>
      <c r="X122" s="210" t="str">
        <v xml:space="preserve">0.00%   0.00%    0.00%   0.00%   0.00%  </v>
      </c>
      <c r="Y122"/>
      <c r="Z122"/>
      <c r="AA122"/>
      <c r="AB122"/>
      <c r="AC122"/>
    </row>
    <row r="123" spans="3:37" x14ac:dyDescent="0.35">
      <c r="D123" s="79" t="str">
        <f>RIGHT(D$84&amp;TEXT(H78,D$85),D$86)&amp;RIGHT(D$84&amp;TEXT(J78,E$85),E$86)&amp;RIGHT(D$84&amp;TEXT(K78,F$85),F$86)&amp;RIGHT(D$84&amp;TEXT(U78,G$85),G$86)&amp;RIGHT(D$84&amp;TEXT(V78,H$85),H$86)&amp;RIGHT(D$84&amp;TEXT(W78,I$85),I$86)&amp;RIGHT(D$84&amp;TEXT(X78,J$85),J$86)&amp;"  "&amp;TEXT(G$9,K$85)</f>
        <v xml:space="preserve"> 2,091,409  1,991,323   1.56%    6.73    6.11    6.17   10.81%  11/07/2025 Friday</v>
      </c>
      <c r="W123" s="210">
        <v>15</v>
      </c>
      <c r="X123" s="210" t="str">
        <v xml:space="preserve">0.00%   0.00%    0.00%   0.00%   0.00%  </v>
      </c>
      <c r="Y123"/>
      <c r="Z123"/>
      <c r="AA123"/>
      <c r="AB123"/>
      <c r="AC123"/>
    </row>
    <row r="124" spans="3:37" x14ac:dyDescent="0.35">
      <c r="D124" s="79"/>
      <c r="W124" s="210">
        <v>16</v>
      </c>
      <c r="X124" s="210" t="str">
        <v xml:space="preserve">0.00%   0.00%    0.00%   0.00%   0.00%  </v>
      </c>
      <c r="Y124"/>
      <c r="Z124"/>
      <c r="AA124"/>
      <c r="AB124"/>
      <c r="AC124"/>
    </row>
    <row r="125" spans="3:37" x14ac:dyDescent="0.35">
      <c r="D125" s="79"/>
      <c r="W125" s="210">
        <v>17</v>
      </c>
      <c r="X125" s="210" t="str">
        <v xml:space="preserve">0.00%   0.00%    0.00%   0.00%   0.00%  </v>
      </c>
      <c r="Y125"/>
      <c r="Z125"/>
      <c r="AA125"/>
      <c r="AB125"/>
      <c r="AC125"/>
    </row>
    <row r="126" spans="3:37" x14ac:dyDescent="0.35">
      <c r="D126" s="234" t="s">
        <v>271</v>
      </c>
      <c r="W126" s="210">
        <v>18</v>
      </c>
      <c r="X126" s="210" t="str">
        <v xml:space="preserve">0.00%   0.00%    0.00%   0.00%   0.00%  </v>
      </c>
      <c r="Y126"/>
      <c r="Z126"/>
      <c r="AA126"/>
      <c r="AB126"/>
      <c r="AC126"/>
    </row>
    <row r="127" spans="3:37" x14ac:dyDescent="0.35">
      <c r="D127" s="79"/>
      <c r="E127" s="235" t="s">
        <v>267</v>
      </c>
      <c r="F127" s="236" t="s">
        <v>268</v>
      </c>
      <c r="G127" s="236" t="s">
        <v>269</v>
      </c>
      <c r="W127" s="210">
        <v>19</v>
      </c>
      <c r="X127" s="210" t="str">
        <v xml:space="preserve">0.00%   0.00%    0.00%   0.00%   0.00%  </v>
      </c>
      <c r="Y127"/>
      <c r="Z127"/>
      <c r="AA127"/>
      <c r="AB127"/>
      <c r="AC127"/>
    </row>
    <row r="128" spans="3:37" ht="15" x14ac:dyDescent="0.4">
      <c r="D128" s="228">
        <v>2026</v>
      </c>
      <c r="E128" s="229">
        <f t="shared" ref="E128:E137" si="74">SUMIF($L$16:$L$77,$D128,J$16:J$77)</f>
        <v>233933.42297251816</v>
      </c>
      <c r="F128" s="230">
        <f t="shared" ref="F128:F137" si="75">SUMIF($L$16:$L$77,$D128,M$16:M$77)</f>
        <v>3700.4676943370951</v>
      </c>
      <c r="G128" s="231">
        <f>F128/E128</f>
        <v>1.581846513130283E-2</v>
      </c>
      <c r="W128" s="210">
        <v>20</v>
      </c>
      <c r="X128" s="210" t="str">
        <v xml:space="preserve">0.00%   0.00%    0.00%   0.00%   0.00%  </v>
      </c>
      <c r="Y128"/>
      <c r="Z128"/>
      <c r="AA128"/>
      <c r="AB128"/>
      <c r="AC128"/>
    </row>
    <row r="129" spans="4:29" ht="15" x14ac:dyDescent="0.4">
      <c r="D129" s="228">
        <f>D128+1</f>
        <v>2027</v>
      </c>
      <c r="E129" s="179">
        <f t="shared" si="74"/>
        <v>215014.5498945252</v>
      </c>
      <c r="F129" s="224">
        <f t="shared" si="75"/>
        <v>2544.089324119007</v>
      </c>
      <c r="G129" s="181">
        <f t="shared" ref="G129:G137" si="76">F129/E129</f>
        <v>1.1832172870938283E-2</v>
      </c>
      <c r="W129" s="210">
        <v>21</v>
      </c>
      <c r="X129" s="210" t="str">
        <v xml:space="preserve">0.00%   0.00%    0.00%   0.00%   0.00%  </v>
      </c>
      <c r="Y129"/>
      <c r="Z129"/>
      <c r="AA129"/>
      <c r="AB129"/>
      <c r="AC129"/>
    </row>
    <row r="130" spans="4:29" ht="15" x14ac:dyDescent="0.4">
      <c r="D130" s="228">
        <f t="shared" ref="D130:D136" si="77">D129+1</f>
        <v>2028</v>
      </c>
      <c r="E130" s="179">
        <f t="shared" si="74"/>
        <v>246413.70170513919</v>
      </c>
      <c r="F130" s="224">
        <f t="shared" si="75"/>
        <v>2955.6657390711307</v>
      </c>
      <c r="G130" s="181">
        <f t="shared" si="76"/>
        <v>1.1994729670543672E-2</v>
      </c>
      <c r="W130" s="210">
        <v>22</v>
      </c>
      <c r="X130" s="210" t="str">
        <v xml:space="preserve">0.00%   0.00%    0.00%   0.00%   0.00%  </v>
      </c>
      <c r="Y130"/>
      <c r="Z130"/>
      <c r="AA130"/>
      <c r="AB130"/>
      <c r="AC130"/>
    </row>
    <row r="131" spans="4:29" ht="15" x14ac:dyDescent="0.4">
      <c r="D131" s="228">
        <f t="shared" si="77"/>
        <v>2029</v>
      </c>
      <c r="E131" s="179">
        <f t="shared" si="74"/>
        <v>255352.61640324284</v>
      </c>
      <c r="F131" s="224">
        <f t="shared" si="75"/>
        <v>3181.7647842255092</v>
      </c>
      <c r="G131" s="181">
        <f t="shared" si="76"/>
        <v>1.2460278766836645E-2</v>
      </c>
      <c r="W131" s="210">
        <v>23</v>
      </c>
      <c r="X131" s="210" t="str">
        <v xml:space="preserve">0.00%   0.00%    0.00%   0.00%   0.00%  </v>
      </c>
      <c r="Y131"/>
      <c r="Z131"/>
      <c r="AA131"/>
      <c r="AB131"/>
      <c r="AC131"/>
    </row>
    <row r="132" spans="4:29" ht="15" x14ac:dyDescent="0.4">
      <c r="D132" s="228">
        <f t="shared" si="77"/>
        <v>2030</v>
      </c>
      <c r="E132" s="179">
        <f t="shared" si="74"/>
        <v>181597.91113155009</v>
      </c>
      <c r="F132" s="224">
        <f t="shared" si="75"/>
        <v>2369.1392122998977</v>
      </c>
      <c r="G132" s="181">
        <f t="shared" si="76"/>
        <v>1.3046070836044397E-2</v>
      </c>
    </row>
    <row r="133" spans="4:29" ht="15" x14ac:dyDescent="0.4">
      <c r="D133" s="228">
        <f t="shared" si="77"/>
        <v>2031</v>
      </c>
      <c r="E133" s="179">
        <f t="shared" si="74"/>
        <v>103375.62215769802</v>
      </c>
      <c r="F133" s="224">
        <f t="shared" si="75"/>
        <v>1425.5278092746969</v>
      </c>
      <c r="G133" s="181">
        <f t="shared" si="76"/>
        <v>1.378978698769111E-2</v>
      </c>
      <c r="X133" s="79" t="s">
        <v>251</v>
      </c>
    </row>
    <row r="134" spans="4:29" ht="15" x14ac:dyDescent="0.4">
      <c r="D134" s="228">
        <f t="shared" si="77"/>
        <v>2032</v>
      </c>
      <c r="E134" s="179">
        <f t="shared" si="74"/>
        <v>116305.57783963828</v>
      </c>
      <c r="F134" s="224">
        <f t="shared" si="75"/>
        <v>1748.7196466051441</v>
      </c>
      <c r="G134" s="181">
        <f t="shared" si="76"/>
        <v>1.5035561312599062E-2</v>
      </c>
      <c r="X134" s="79" t="str">
        <f ca="1">RIGHT(X$96&amp;TEXT(X104,X99),X$100)&amp;RIGHT(X$96&amp;TEXT(Y104,Y99),Y$100)&amp;RIGHT(X$96&amp;TEXT(Z104,Z99),Z$100)&amp;RIGHT(X$96&amp;TEXT(AA104,AA99),AA$100)&amp;RIGHT(X$96&amp;TEXT(AB104,AB99),AB$100)&amp;"  "&amp;TEXT(AC104,AC99)</f>
        <v>1.30%   1.23%    1.37%   1.55%   2.38%  11/07/2025 Friday</v>
      </c>
    </row>
    <row r="135" spans="4:29" ht="15" x14ac:dyDescent="0.4">
      <c r="D135" s="228">
        <f t="shared" si="77"/>
        <v>2033</v>
      </c>
      <c r="E135" s="179">
        <f t="shared" si="74"/>
        <v>101878.16252078238</v>
      </c>
      <c r="F135" s="224">
        <f t="shared" si="75"/>
        <v>1648.4469811227534</v>
      </c>
      <c r="G135" s="181">
        <f t="shared" si="76"/>
        <v>1.6180572365412288E-2</v>
      </c>
    </row>
    <row r="136" spans="4:29" ht="15" x14ac:dyDescent="0.4">
      <c r="D136" s="228">
        <f t="shared" si="77"/>
        <v>2034</v>
      </c>
      <c r="E136" s="179">
        <f t="shared" si="74"/>
        <v>110757.19685307897</v>
      </c>
      <c r="F136" s="224">
        <f t="shared" si="75"/>
        <v>1903.9465761313681</v>
      </c>
      <c r="G136" s="181">
        <f t="shared" si="76"/>
        <v>1.7190274133219361E-2</v>
      </c>
    </row>
    <row r="137" spans="4:29" ht="15" x14ac:dyDescent="0.4">
      <c r="D137" s="228">
        <f>D136+1</f>
        <v>2035</v>
      </c>
      <c r="E137" s="232">
        <f t="shared" si="74"/>
        <v>103914.06896170811</v>
      </c>
      <c r="F137" s="225">
        <f t="shared" si="75"/>
        <v>1878.9427777021381</v>
      </c>
      <c r="G137" s="233">
        <f t="shared" si="76"/>
        <v>1.8081697661117672E-2</v>
      </c>
    </row>
  </sheetData>
  <conditionalFormatting sqref="A16:AC78 W79:AC79">
    <cfRule type="expression" dxfId="1" priority="1">
      <formula>AND($A16&lt;&gt;"",MOD(YEAR($A16),2)=0)</formula>
    </cfRule>
  </conditionalFormatting>
  <conditionalFormatting sqref="G12">
    <cfRule type="expression" dxfId="0" priority="3">
      <formula>NOT(ISNUMBER($G$10))</formula>
    </cfRule>
  </conditionalFormatting>
  <pageMargins left="0.7" right="0.7" top="1" bottom="0.75" header="0.3" footer="0.3"/>
  <pageSetup orientation="portrait" verticalDpi="0" r:id="rId1"/>
  <headerFooter>
    <oddHeader>&amp;C&amp;14Weighted Average Statistics for Five TIPS Indexes</oddHeader>
    <oddFooter>&amp;L&amp;F &amp;A&amp;Rprinted &amp;D &amp; 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F1DBAB-74A4-4CEA-8899-39CD0A3A49DB}">
  <dimension ref="A1:H58"/>
  <sheetViews>
    <sheetView zoomScale="90" zoomScaleNormal="90" workbookViewId="0">
      <pane ySplit="5" topLeftCell="A9" activePane="bottomLeft" state="frozen"/>
      <selection activeCell="B4" sqref="B4"/>
      <selection pane="bottomLeft" activeCell="C2" sqref="C2"/>
    </sheetView>
  </sheetViews>
  <sheetFormatPr defaultRowHeight="14.5" x14ac:dyDescent="0.35"/>
  <cols>
    <col min="1" max="1" width="11.08984375" customWidth="1"/>
    <col min="4" max="4" width="4.81640625" customWidth="1"/>
    <col min="5" max="5" width="11.6328125" bestFit="1" customWidth="1"/>
    <col min="6" max="6" width="11.453125" customWidth="1"/>
    <col min="7" max="7" width="2.6328125" customWidth="1"/>
    <col min="8" max="8" width="8.81640625" style="79"/>
  </cols>
  <sheetData>
    <row r="1" spans="1:8" x14ac:dyDescent="0.35">
      <c r="E1" s="27" t="s">
        <v>168</v>
      </c>
      <c r="F1" s="27" t="s">
        <v>169</v>
      </c>
      <c r="H1" s="132" t="str">
        <f>REPT(" ",100)</f>
        <v xml:space="preserve">                                                                                                    </v>
      </c>
    </row>
    <row r="2" spans="1:8" x14ac:dyDescent="0.35">
      <c r="E2" s="108">
        <v>2</v>
      </c>
      <c r="F2" s="108">
        <v>1</v>
      </c>
      <c r="H2" s="129" t="s">
        <v>173</v>
      </c>
    </row>
    <row r="3" spans="1:8" x14ac:dyDescent="0.35">
      <c r="A3" t="s">
        <v>172</v>
      </c>
      <c r="B3">
        <v>5000</v>
      </c>
      <c r="E3" s="8">
        <f>4*(E2-1)+4</f>
        <v>8</v>
      </c>
      <c r="F3" s="8">
        <f>4*(F2-1)+4</f>
        <v>4</v>
      </c>
      <c r="H3" s="130" t="s">
        <v>174</v>
      </c>
    </row>
    <row r="4" spans="1:8" x14ac:dyDescent="0.35">
      <c r="E4" s="8"/>
      <c r="F4" s="8"/>
      <c r="H4" s="170" t="str">
        <f>REPT(" ",20)&amp;"--------- Price ---------"</f>
        <v xml:space="preserve">                    --------- Price ---------</v>
      </c>
    </row>
    <row r="5" spans="1:8" x14ac:dyDescent="0.35">
      <c r="A5" t="s">
        <v>166</v>
      </c>
      <c r="B5" t="s">
        <v>99</v>
      </c>
      <c r="C5" s="27" t="s">
        <v>170</v>
      </c>
      <c r="D5" s="27" t="s">
        <v>171</v>
      </c>
      <c r="E5" s="1" cm="1">
        <f t="array" ref="E5">INDEX(Quotes!1:1,1,E3+1)</f>
        <v>45967</v>
      </c>
      <c r="F5" s="1" cm="1">
        <f t="array" ref="F5">INDEX(Quotes!1:1,1,F3+1)</f>
        <v>45968</v>
      </c>
      <c r="H5" s="79" t="str">
        <f>"  Matures   Coupon"&amp;RIGHT(H1&amp;TEXT(E5,"m/d/yy"),9)&amp;RIGHT(H1&amp;TEXT(F5,"m/d/yy"),9)&amp;"    % Chg"</f>
        <v xml:space="preserve">  Matures   Coupon  11/6/25  11/7/25    % Chg</v>
      </c>
    </row>
    <row r="6" spans="1:8" x14ac:dyDescent="0.35">
      <c r="A6" s="125">
        <f>Weights!A16</f>
        <v>46037</v>
      </c>
      <c r="B6" s="126">
        <f>Weights!B16</f>
        <v>6.2500000000000003E-3</v>
      </c>
      <c r="C6" s="126">
        <f t="shared" ref="C6:C8" si="0">IF(E6=0,0,F6/E6-1)</f>
        <v>3.1338138514547254E-4</v>
      </c>
      <c r="D6" s="131">
        <f t="shared" ref="D6:D8" si="1">ROUND(B$3*C6,0)</f>
        <v>2</v>
      </c>
      <c r="E6" s="128">
        <f>IFERROR(VLOOKUP($A6+$B6,Quotes!$A:$AAO,E$3+2,FALSE),0)</f>
        <v>99.718750000000014</v>
      </c>
      <c r="F6" s="128">
        <f>IFERROR(VLOOKUP($A6+$B6,Quotes!$A:$AAO,F$3+2,FALSE),0)</f>
        <v>99.749999999999986</v>
      </c>
      <c r="H6" s="79" t="str">
        <f t="shared" ref="H6:H37" si="2">TEXT(A6,"mm/dd/yyyy")&amp;"  "&amp;TEXT(B6,"0.000%")&amp;RIGHT(H$1&amp;TEXT(INT(E6),"##0.")&amp;TEXT((E6-INT(E6))*32,"00"),9)&amp;RIGHT(H$1&amp;TEXT(INT(F6),"##0.")&amp;TEXT((F6-INT(F6))*32,"00"),9)&amp;RIGHT(H$1&amp;TEXT(C6,"_(#0.0%_);(#0.0%)"),10)&amp;"  "&amp;IF(D$58&lt;0,IF(D6&lt;0,IF(D6&gt;D$58,REPT(" ",D6-D$58),"")&amp;REPT("X",-D6),REPT(" ",-D$58))&amp;"|"&amp;IF(D6&gt;0,REPT("X",D6),""),REPT("X",D6))</f>
        <v>01/15/2026  0.625%    99.23    99.24     0.0%                    |XX</v>
      </c>
    </row>
    <row r="7" spans="1:8" x14ac:dyDescent="0.35">
      <c r="A7" s="125">
        <f>Weights!A17</f>
        <v>46037</v>
      </c>
      <c r="B7" s="126">
        <f>Weights!B17</f>
        <v>0.02</v>
      </c>
      <c r="C7" s="126">
        <f t="shared" si="0"/>
        <v>-3.1249999999971578E-4</v>
      </c>
      <c r="D7" s="131">
        <f t="shared" si="1"/>
        <v>-2</v>
      </c>
      <c r="E7" s="128">
        <f>IFERROR(VLOOKUP($A7+$B7,Quotes!$A:$AAO,E$3+2,FALSE),0)</f>
        <v>99.999999999999972</v>
      </c>
      <c r="F7" s="128">
        <f>IFERROR(VLOOKUP($A7+$B7,Quotes!$A:$AAO,F$3+2,FALSE),0)</f>
        <v>99.96875</v>
      </c>
      <c r="H7" s="79" t="str">
        <f t="shared" si="2"/>
        <v>01/15/2026  2.000%   100.00    99.31    (0.0%)                 XX|</v>
      </c>
    </row>
    <row r="8" spans="1:8" x14ac:dyDescent="0.35">
      <c r="A8" s="125">
        <f>Weights!A18</f>
        <v>46127</v>
      </c>
      <c r="B8" s="126">
        <f>Weights!B18</f>
        <v>1.25E-3</v>
      </c>
      <c r="C8" s="126">
        <f t="shared" si="0"/>
        <v>-3.145643284052646E-4</v>
      </c>
      <c r="D8" s="131">
        <f t="shared" si="1"/>
        <v>-2</v>
      </c>
      <c r="E8" s="128">
        <f>IFERROR(VLOOKUP($A8+$B8,Quotes!$A:$AAO,E$3+2,FALSE),0)</f>
        <v>99.34375</v>
      </c>
      <c r="F8" s="128">
        <f>IFERROR(VLOOKUP($A8+$B8,Quotes!$A:$AAO,F$3+2,FALSE),0)</f>
        <v>99.312499999999986</v>
      </c>
      <c r="H8" s="79" t="str">
        <f t="shared" si="2"/>
        <v>04/15/2026  0.125%    99.11    99.10    (0.0%)                 XX|</v>
      </c>
    </row>
    <row r="9" spans="1:8" x14ac:dyDescent="0.35">
      <c r="A9" s="125">
        <f>Weights!A19</f>
        <v>46218</v>
      </c>
      <c r="B9" s="126">
        <f>Weights!B19</f>
        <v>1.25E-3</v>
      </c>
      <c r="C9" s="126">
        <f t="shared" ref="C9:C53" si="3">IF(E9=0,0,F9/E9-1)</f>
        <v>0</v>
      </c>
      <c r="D9" s="131">
        <f t="shared" ref="D9:D53" si="4">ROUND(B$3*C9,0)</f>
        <v>0</v>
      </c>
      <c r="E9" s="128">
        <f>IFERROR(VLOOKUP($A9+$B9,Quotes!$A:$AAO,E$3+2,FALSE),0)</f>
        <v>99.4375</v>
      </c>
      <c r="F9" s="128">
        <f>IFERROR(VLOOKUP($A9+$B9,Quotes!$A:$AAO,F$3+2,FALSE),0)</f>
        <v>99.4375</v>
      </c>
      <c r="H9" s="79" t="str">
        <f t="shared" si="2"/>
        <v>07/15/2026  0.125%    99.14    99.14     0.0%                    |</v>
      </c>
    </row>
    <row r="10" spans="1:8" x14ac:dyDescent="0.35">
      <c r="A10" s="125">
        <f>Weights!A20</f>
        <v>46310</v>
      </c>
      <c r="B10" s="126">
        <f>Weights!B20</f>
        <v>1.25E-3</v>
      </c>
      <c r="C10" s="126">
        <f t="shared" si="3"/>
        <v>0</v>
      </c>
      <c r="D10" s="131">
        <f t="shared" si="4"/>
        <v>0</v>
      </c>
      <c r="E10" s="128">
        <f>IFERROR(VLOOKUP($A10+$B10,Quotes!$A:$AAO,E$3+2,FALSE),0)</f>
        <v>99.1875</v>
      </c>
      <c r="F10" s="128">
        <f>IFERROR(VLOOKUP($A10+$B10,Quotes!$A:$AAO,F$3+2,FALSE),0)</f>
        <v>99.1875</v>
      </c>
      <c r="H10" s="79" t="str">
        <f t="shared" si="2"/>
        <v>10/15/2026  0.125%    99.06    99.06     0.0%                    |</v>
      </c>
    </row>
    <row r="11" spans="1:8" x14ac:dyDescent="0.35">
      <c r="A11" s="125">
        <f>Weights!A21</f>
        <v>46402</v>
      </c>
      <c r="B11" s="126">
        <f>Weights!B21</f>
        <v>3.7499999999999999E-3</v>
      </c>
      <c r="C11" s="126">
        <f t="shared" si="3"/>
        <v>-3.1585596967753649E-4</v>
      </c>
      <c r="D11" s="131">
        <f t="shared" si="4"/>
        <v>-2</v>
      </c>
      <c r="E11" s="128">
        <f>IFERROR(VLOOKUP($A11+$B11,Quotes!$A:$AAO,E$3+2,FALSE),0)</f>
        <v>98.937499999999986</v>
      </c>
      <c r="F11" s="128">
        <f>IFERROR(VLOOKUP($A11+$B11,Quotes!$A:$AAO,F$3+2,FALSE),0)</f>
        <v>98.906250000000014</v>
      </c>
      <c r="H11" s="79" t="str">
        <f t="shared" si="2"/>
        <v>01/15/2027  0.375%    98.30    98.29    (0.0%)                 XX|</v>
      </c>
    </row>
    <row r="12" spans="1:8" x14ac:dyDescent="0.35">
      <c r="A12" s="125">
        <f>Weights!A22</f>
        <v>46402</v>
      </c>
      <c r="B12" s="126">
        <f>Weights!B22</f>
        <v>2.375E-2</v>
      </c>
      <c r="C12" s="126">
        <f t="shared" si="3"/>
        <v>-3.08546744831939E-4</v>
      </c>
      <c r="D12" s="131">
        <f t="shared" si="4"/>
        <v>-2</v>
      </c>
      <c r="E12" s="128">
        <f>IFERROR(VLOOKUP($A12+$B12,Quotes!$A:$AAO,E$3+2,FALSE),0)</f>
        <v>101.28125000000001</v>
      </c>
      <c r="F12" s="128">
        <f>IFERROR(VLOOKUP($A12+$B12,Quotes!$A:$AAO,F$3+2,FALSE),0)</f>
        <v>101.25</v>
      </c>
      <c r="H12" s="79" t="str">
        <f t="shared" si="2"/>
        <v>01/15/2027  2.375%   101.09   101.08    (0.0%)                 XX|</v>
      </c>
    </row>
    <row r="13" spans="1:8" x14ac:dyDescent="0.35">
      <c r="A13" s="125">
        <f>Weights!A23</f>
        <v>46492</v>
      </c>
      <c r="B13" s="126">
        <f>Weights!B23</f>
        <v>1.25E-3</v>
      </c>
      <c r="C13" s="126">
        <f t="shared" si="3"/>
        <v>-3.1786395422728209E-4</v>
      </c>
      <c r="D13" s="131">
        <f t="shared" si="4"/>
        <v>-2</v>
      </c>
      <c r="E13" s="128">
        <f>IFERROR(VLOOKUP($A13+$B13,Quotes!$A:$AAO,E$3+2,FALSE),0)</f>
        <v>98.312499999999986</v>
      </c>
      <c r="F13" s="128">
        <f>IFERROR(VLOOKUP($A13+$B13,Quotes!$A:$AAO,F$3+2,FALSE),0)</f>
        <v>98.281250000000014</v>
      </c>
      <c r="H13" s="79" t="str">
        <f t="shared" si="2"/>
        <v>04/15/2027  0.125%    98.10    98.09    (0.0%)                 XX|</v>
      </c>
    </row>
    <row r="14" spans="1:8" x14ac:dyDescent="0.35">
      <c r="A14" s="125">
        <f>Weights!A24</f>
        <v>46583</v>
      </c>
      <c r="B14" s="126">
        <f>Weights!B24</f>
        <v>3.7499999999999999E-3</v>
      </c>
      <c r="C14" s="126">
        <f t="shared" si="3"/>
        <v>-3.1555695803131556E-4</v>
      </c>
      <c r="D14" s="131">
        <f t="shared" si="4"/>
        <v>-2</v>
      </c>
      <c r="E14" s="128">
        <f>IFERROR(VLOOKUP($A14+$B14,Quotes!$A:$AAO,E$3+2,FALSE),0)</f>
        <v>99.031250000000014</v>
      </c>
      <c r="F14" s="128">
        <f>IFERROR(VLOOKUP($A14+$B14,Quotes!$A:$AAO,F$3+2,FALSE),0)</f>
        <v>98.999999999999972</v>
      </c>
      <c r="H14" s="79" t="str">
        <f t="shared" si="2"/>
        <v>07/15/2027  0.375%    99.01    99.00    (0.0%)                 XX|</v>
      </c>
    </row>
    <row r="15" spans="1:8" x14ac:dyDescent="0.35">
      <c r="A15" s="125">
        <f>Weights!A25</f>
        <v>46675</v>
      </c>
      <c r="B15" s="126">
        <f>Weights!B25</f>
        <v>1.6250000000000001E-2</v>
      </c>
      <c r="C15" s="126">
        <f t="shared" si="3"/>
        <v>-6.1766522544770552E-4</v>
      </c>
      <c r="D15" s="131">
        <f t="shared" si="4"/>
        <v>-3</v>
      </c>
      <c r="E15" s="128">
        <f>IFERROR(VLOOKUP($A15+$B15,Quotes!$A:$AAO,E$3+2,FALSE),0)</f>
        <v>101.1875</v>
      </c>
      <c r="F15" s="128">
        <f>IFERROR(VLOOKUP($A15+$B15,Quotes!$A:$AAO,F$3+2,FALSE),0)</f>
        <v>101.12500000000001</v>
      </c>
      <c r="H15" s="79" t="str">
        <f t="shared" si="2"/>
        <v>10/15/2027  1.625%   101.06   101.04    (0.1%)                XXX|</v>
      </c>
    </row>
    <row r="16" spans="1:8" x14ac:dyDescent="0.35">
      <c r="A16" s="125">
        <f>Weights!A26</f>
        <v>46767</v>
      </c>
      <c r="B16" s="126">
        <f>Weights!B26</f>
        <v>5.0000000000000001E-3</v>
      </c>
      <c r="C16" s="126">
        <f t="shared" si="3"/>
        <v>-6.3451776649736669E-4</v>
      </c>
      <c r="D16" s="131">
        <f t="shared" si="4"/>
        <v>-3</v>
      </c>
      <c r="E16" s="128">
        <f>IFERROR(VLOOKUP($A16+$B16,Quotes!$A:$AAO,E$3+2,FALSE),0)</f>
        <v>98.499999999999986</v>
      </c>
      <c r="F16" s="128">
        <f>IFERROR(VLOOKUP($A16+$B16,Quotes!$A:$AAO,F$3+2,FALSE),0)</f>
        <v>98.4375</v>
      </c>
      <c r="H16" s="79" t="str">
        <f t="shared" si="2"/>
        <v>01/15/2028  0.500%    98.16    98.14    (0.1%)                XXX|</v>
      </c>
    </row>
    <row r="17" spans="1:8" x14ac:dyDescent="0.35">
      <c r="A17" s="125">
        <f>Weights!A27</f>
        <v>46767</v>
      </c>
      <c r="B17" s="126">
        <f>Weights!B27</f>
        <v>1.7500000000000002E-2</v>
      </c>
      <c r="C17" s="126">
        <f t="shared" si="3"/>
        <v>-6.1766522544770552E-4</v>
      </c>
      <c r="D17" s="131">
        <f t="shared" si="4"/>
        <v>-3</v>
      </c>
      <c r="E17" s="128">
        <f>IFERROR(VLOOKUP($A17+$B17,Quotes!$A:$AAO,E$3+2,FALSE),0)</f>
        <v>101.1875</v>
      </c>
      <c r="F17" s="128">
        <f>IFERROR(VLOOKUP($A17+$B17,Quotes!$A:$AAO,F$3+2,FALSE),0)</f>
        <v>101.12500000000001</v>
      </c>
      <c r="H17" s="79" t="str">
        <f t="shared" si="2"/>
        <v>01/15/2028  1.750%   101.06   101.04    (0.1%)                XXX|</v>
      </c>
    </row>
    <row r="18" spans="1:8" x14ac:dyDescent="0.35">
      <c r="A18" s="125">
        <f>Weights!A28</f>
        <v>46858</v>
      </c>
      <c r="B18" s="126">
        <f>Weights!B28</f>
        <v>1.2500000000000001E-2</v>
      </c>
      <c r="C18" s="126">
        <f t="shared" si="3"/>
        <v>-6.2499999999987566E-4</v>
      </c>
      <c r="D18" s="131">
        <f t="shared" si="4"/>
        <v>-3</v>
      </c>
      <c r="E18" s="128">
        <f>IFERROR(VLOOKUP($A18+$B18,Quotes!$A:$AAO,E$3+2,FALSE),0)</f>
        <v>99.999999999999972</v>
      </c>
      <c r="F18" s="128">
        <f>IFERROR(VLOOKUP($A18+$B18,Quotes!$A:$AAO,F$3+2,FALSE),0)</f>
        <v>99.937499999999986</v>
      </c>
      <c r="H18" s="79" t="str">
        <f t="shared" si="2"/>
        <v>04/15/2028  1.250%   100.00    99.30    (0.1%)                XXX|</v>
      </c>
    </row>
    <row r="19" spans="1:8" x14ac:dyDescent="0.35">
      <c r="A19" s="125">
        <f>Weights!A29</f>
        <v>46858</v>
      </c>
      <c r="B19" s="126">
        <f>Weights!B29</f>
        <v>3.6249999999999998E-2</v>
      </c>
      <c r="C19" s="126">
        <f t="shared" si="3"/>
        <v>-8.8678687555421298E-4</v>
      </c>
      <c r="D19" s="131">
        <f t="shared" si="4"/>
        <v>-4</v>
      </c>
      <c r="E19" s="128">
        <f>IFERROR(VLOOKUP($A19+$B19,Quotes!$A:$AAO,E$3+2,FALSE),0)</f>
        <v>105.71875000000001</v>
      </c>
      <c r="F19" s="128">
        <f>IFERROR(VLOOKUP($A19+$B19,Quotes!$A:$AAO,F$3+2,FALSE),0)</f>
        <v>105.62500000000001</v>
      </c>
      <c r="H19" s="79" t="str">
        <f t="shared" si="2"/>
        <v>04/15/2028  3.625%   105.23   105.20    (0.1%)               XXXX|</v>
      </c>
    </row>
    <row r="20" spans="1:8" x14ac:dyDescent="0.35">
      <c r="A20" s="125">
        <f>Weights!A30</f>
        <v>46949</v>
      </c>
      <c r="B20" s="126">
        <f>Weights!B30</f>
        <v>7.4999999999999997E-3</v>
      </c>
      <c r="C20" s="126">
        <f t="shared" si="3"/>
        <v>-6.3011972274717998E-4</v>
      </c>
      <c r="D20" s="131">
        <f t="shared" si="4"/>
        <v>-3</v>
      </c>
      <c r="E20" s="128">
        <f>IFERROR(VLOOKUP($A20+$B20,Quotes!$A:$AAO,E$3+2,FALSE),0)</f>
        <v>99.1875</v>
      </c>
      <c r="F20" s="128">
        <f>IFERROR(VLOOKUP($A20+$B20,Quotes!$A:$AAO,F$3+2,FALSE),0)</f>
        <v>99.125000000000014</v>
      </c>
      <c r="H20" s="79" t="str">
        <f t="shared" si="2"/>
        <v>07/15/2028  0.750%    99.06    99.04    (0.1%)                XXX|</v>
      </c>
    </row>
    <row r="21" spans="1:8" x14ac:dyDescent="0.35">
      <c r="A21" s="125">
        <f>Weights!A31</f>
        <v>47041</v>
      </c>
      <c r="B21" s="126">
        <f>Weights!B31</f>
        <v>2.375E-2</v>
      </c>
      <c r="C21" s="126">
        <f t="shared" si="3"/>
        <v>-9.0470446320878306E-4</v>
      </c>
      <c r="D21" s="131">
        <f t="shared" si="4"/>
        <v>-5</v>
      </c>
      <c r="E21" s="128">
        <f>IFERROR(VLOOKUP($A21+$B21,Quotes!$A:$AAO,E$3+2,FALSE),0)</f>
        <v>103.62500000000001</v>
      </c>
      <c r="F21" s="128">
        <f>IFERROR(VLOOKUP($A21+$B21,Quotes!$A:$AAO,F$3+2,FALSE),0)</f>
        <v>103.53125</v>
      </c>
      <c r="H21" s="79" t="str">
        <f t="shared" si="2"/>
        <v>10/15/2028  2.375%   103.20   103.17    (0.1%)              XXXXX|</v>
      </c>
    </row>
    <row r="22" spans="1:8" x14ac:dyDescent="0.35">
      <c r="A22" s="125">
        <f>Weights!A32</f>
        <v>47133</v>
      </c>
      <c r="B22" s="126">
        <f>Weights!B32</f>
        <v>8.7500000000000008E-3</v>
      </c>
      <c r="C22" s="126">
        <f t="shared" si="3"/>
        <v>-3.1595576619292132E-4</v>
      </c>
      <c r="D22" s="131">
        <f t="shared" si="4"/>
        <v>-2</v>
      </c>
      <c r="E22" s="128">
        <f>IFERROR(VLOOKUP($A22+$B22,Quotes!$A:$AAO,E$3+2,FALSE),0)</f>
        <v>98.906250000000014</v>
      </c>
      <c r="F22" s="128">
        <f>IFERROR(VLOOKUP($A22+$B22,Quotes!$A:$AAO,F$3+2,FALSE),0)</f>
        <v>98.875</v>
      </c>
      <c r="H22" s="79" t="str">
        <f t="shared" si="2"/>
        <v>01/15/2029  0.875%    98.29    98.28    (0.0%)                 XX|</v>
      </c>
    </row>
    <row r="23" spans="1:8" x14ac:dyDescent="0.35">
      <c r="A23" s="125">
        <f>Weights!A33</f>
        <v>47133</v>
      </c>
      <c r="B23" s="126">
        <f>Weights!B33</f>
        <v>2.5000000000000001E-2</v>
      </c>
      <c r="C23" s="126">
        <f t="shared" si="3"/>
        <v>-6.0114217012308124E-4</v>
      </c>
      <c r="D23" s="131">
        <f t="shared" si="4"/>
        <v>-3</v>
      </c>
      <c r="E23" s="128">
        <f>IFERROR(VLOOKUP($A23+$B23,Quotes!$A:$AAO,E$3+2,FALSE),0)</f>
        <v>103.96875</v>
      </c>
      <c r="F23" s="128">
        <f>IFERROR(VLOOKUP($A23+$B23,Quotes!$A:$AAO,F$3+2,FALSE),0)</f>
        <v>103.90625000000001</v>
      </c>
      <c r="H23" s="79" t="str">
        <f t="shared" si="2"/>
        <v>01/15/2029  2.500%   103.31   103.29    (0.1%)                XXX|</v>
      </c>
    </row>
    <row r="24" spans="1:8" x14ac:dyDescent="0.35">
      <c r="A24" s="125">
        <f>Weights!A34</f>
        <v>47223</v>
      </c>
      <c r="B24" s="126">
        <f>Weights!B34</f>
        <v>2.1250000000000002E-2</v>
      </c>
      <c r="C24" s="126">
        <f t="shared" si="3"/>
        <v>-6.0808756460917213E-4</v>
      </c>
      <c r="D24" s="131">
        <f t="shared" si="4"/>
        <v>-3</v>
      </c>
      <c r="E24" s="128">
        <f>IFERROR(VLOOKUP($A24+$B24,Quotes!$A:$AAO,E$3+2,FALSE),0)</f>
        <v>102.78125</v>
      </c>
      <c r="F24" s="128">
        <f>IFERROR(VLOOKUP($A24+$B24,Quotes!$A:$AAO,F$3+2,FALSE),0)</f>
        <v>102.71875000000001</v>
      </c>
      <c r="H24" s="79" t="str">
        <f t="shared" si="2"/>
        <v>04/15/2029  2.125%   102.25   102.23    (0.1%)                XXX|</v>
      </c>
    </row>
    <row r="25" spans="1:8" x14ac:dyDescent="0.35">
      <c r="A25" s="125">
        <f>Weights!A35</f>
        <v>47223</v>
      </c>
      <c r="B25" s="126">
        <f>Weights!B35</f>
        <v>3.875E-2</v>
      </c>
      <c r="C25" s="126">
        <f t="shared" si="3"/>
        <v>-5.7520851308590082E-4</v>
      </c>
      <c r="D25" s="131">
        <f t="shared" si="4"/>
        <v>-3</v>
      </c>
      <c r="E25" s="128">
        <f>IFERROR(VLOOKUP($A25+$B25,Quotes!$A:$AAO,E$3+2,FALSE),0)</f>
        <v>108.65624999999999</v>
      </c>
      <c r="F25" s="128">
        <f>IFERROR(VLOOKUP($A25+$B25,Quotes!$A:$AAO,F$3+2,FALSE),0)</f>
        <v>108.59375</v>
      </c>
      <c r="H25" s="79" t="str">
        <f t="shared" si="2"/>
        <v>04/15/2029  3.875%   108.21   108.19    (0.1%)                XXX|</v>
      </c>
    </row>
    <row r="26" spans="1:8" x14ac:dyDescent="0.35">
      <c r="A26" s="125">
        <f>Weights!A36</f>
        <v>47314</v>
      </c>
      <c r="B26" s="126">
        <f>Weights!B36</f>
        <v>2.5000000000000001E-3</v>
      </c>
      <c r="C26" s="126">
        <f t="shared" si="3"/>
        <v>-6.4578624475286617E-4</v>
      </c>
      <c r="D26" s="131">
        <f t="shared" si="4"/>
        <v>-3</v>
      </c>
      <c r="E26" s="128">
        <f>IFERROR(VLOOKUP($A26+$B26,Quotes!$A:$AAO,E$3+2,FALSE),0)</f>
        <v>96.78125</v>
      </c>
      <c r="F26" s="128">
        <f>IFERROR(VLOOKUP($A26+$B26,Quotes!$A:$AAO,F$3+2,FALSE),0)</f>
        <v>96.718750000000014</v>
      </c>
      <c r="H26" s="79" t="str">
        <f t="shared" si="2"/>
        <v>07/15/2029  0.250%    96.25    96.23    (0.1%)                XXX|</v>
      </c>
    </row>
    <row r="27" spans="1:8" x14ac:dyDescent="0.35">
      <c r="A27" s="125">
        <f>Weights!A37</f>
        <v>47406</v>
      </c>
      <c r="B27" s="126">
        <f>Weights!B37</f>
        <v>1.6250000000000001E-2</v>
      </c>
      <c r="C27" s="126">
        <f t="shared" si="3"/>
        <v>-6.1500615006138126E-4</v>
      </c>
      <c r="D27" s="131">
        <f t="shared" si="4"/>
        <v>-3</v>
      </c>
      <c r="E27" s="128">
        <f>IFERROR(VLOOKUP($A27+$B27,Quotes!$A:$AAO,E$3+2,FALSE),0)</f>
        <v>101.62500000000001</v>
      </c>
      <c r="F27" s="128">
        <f>IFERROR(VLOOKUP($A27+$B27,Quotes!$A:$AAO,F$3+2,FALSE),0)</f>
        <v>101.56250000000003</v>
      </c>
      <c r="H27" s="79" t="str">
        <f t="shared" si="2"/>
        <v>10/15/2029  1.625%   101.20   101.18    (0.1%)                XXX|</v>
      </c>
    </row>
    <row r="28" spans="1:8" x14ac:dyDescent="0.35">
      <c r="A28" s="125">
        <f>Weights!A38</f>
        <v>47498</v>
      </c>
      <c r="B28" s="126">
        <f>Weights!B38</f>
        <v>1.25E-3</v>
      </c>
      <c r="C28" s="126">
        <f t="shared" si="3"/>
        <v>-3.2797638570036813E-4</v>
      </c>
      <c r="D28" s="131">
        <f t="shared" si="4"/>
        <v>-2</v>
      </c>
      <c r="E28" s="128">
        <f>IFERROR(VLOOKUP($A28+$B28,Quotes!$A:$AAO,E$3+2,FALSE),0)</f>
        <v>95.281250000000014</v>
      </c>
      <c r="F28" s="128">
        <f>IFERROR(VLOOKUP($A28+$B28,Quotes!$A:$AAO,F$3+2,FALSE),0)</f>
        <v>95.25</v>
      </c>
      <c r="H28" s="79" t="str">
        <f t="shared" si="2"/>
        <v>01/15/2030  0.125%    95.09    95.08    (0.0%)                 XX|</v>
      </c>
    </row>
    <row r="29" spans="1:8" x14ac:dyDescent="0.35">
      <c r="A29" s="125">
        <f>Weights!A39</f>
        <v>47588</v>
      </c>
      <c r="B29" s="126">
        <f>Weights!B39</f>
        <v>1.6250000000000001E-2</v>
      </c>
      <c r="C29" s="126">
        <f t="shared" si="3"/>
        <v>-6.1747452917548795E-4</v>
      </c>
      <c r="D29" s="131">
        <f t="shared" si="4"/>
        <v>-3</v>
      </c>
      <c r="E29" s="128">
        <f>IFERROR(VLOOKUP($A29+$B29,Quotes!$A:$AAO,E$3+2,FALSE),0)</f>
        <v>101.21874999999997</v>
      </c>
      <c r="F29" s="128">
        <f>IFERROR(VLOOKUP($A29+$B29,Quotes!$A:$AAO,F$3+2,FALSE),0)</f>
        <v>101.15624999999999</v>
      </c>
      <c r="H29" s="79" t="str">
        <f t="shared" si="2"/>
        <v>04/15/2030  1.625%   101.07   101.05    (0.1%)                XXX|</v>
      </c>
    </row>
    <row r="30" spans="1:8" x14ac:dyDescent="0.35">
      <c r="A30" s="125">
        <f>Weights!A40</f>
        <v>47679</v>
      </c>
      <c r="B30" s="126">
        <f>Weights!B40</f>
        <v>1.25E-3</v>
      </c>
      <c r="C30" s="126">
        <f t="shared" si="3"/>
        <v>-3.2927230819901343E-4</v>
      </c>
      <c r="D30" s="131">
        <f t="shared" si="4"/>
        <v>-2</v>
      </c>
      <c r="E30" s="128">
        <f>IFERROR(VLOOKUP($A30+$B30,Quotes!$A:$AAO,E$3+2,FALSE),0)</f>
        <v>94.906250000000014</v>
      </c>
      <c r="F30" s="128">
        <f>IFERROR(VLOOKUP($A30+$B30,Quotes!$A:$AAO,F$3+2,FALSE),0)</f>
        <v>94.875</v>
      </c>
      <c r="H30" s="79" t="str">
        <f t="shared" si="2"/>
        <v>07/15/2030  0.125%    94.29    94.28    (0.0%)                 XX|</v>
      </c>
    </row>
    <row r="31" spans="1:8" x14ac:dyDescent="0.35">
      <c r="A31" s="125">
        <f>Weights!A42</f>
        <v>47863</v>
      </c>
      <c r="B31" s="126">
        <f>Weights!B42</f>
        <v>1.25E-3</v>
      </c>
      <c r="C31" s="126">
        <f t="shared" si="3"/>
        <v>-3.3322225924703464E-4</v>
      </c>
      <c r="D31" s="131">
        <f t="shared" si="4"/>
        <v>-2</v>
      </c>
      <c r="E31" s="128">
        <f>IFERROR(VLOOKUP($A31+$B31,Quotes!$A:$AAO,E$3+2,FALSE),0)</f>
        <v>93.78125</v>
      </c>
      <c r="F31" s="128">
        <f>IFERROR(VLOOKUP($A31+$B31,Quotes!$A:$AAO,F$3+2,FALSE),0)</f>
        <v>93.749999999999986</v>
      </c>
      <c r="H31" s="79" t="str">
        <f t="shared" si="2"/>
        <v>01/15/2031  0.125%    93.25    93.24    (0.0%)                 XX|</v>
      </c>
    </row>
    <row r="32" spans="1:8" x14ac:dyDescent="0.35">
      <c r="A32" s="125">
        <f>Weights!A43</f>
        <v>48044</v>
      </c>
      <c r="B32" s="126">
        <f>Weights!B43</f>
        <v>1.25E-3</v>
      </c>
      <c r="C32" s="126">
        <f t="shared" si="3"/>
        <v>-6.7024128686321571E-4</v>
      </c>
      <c r="D32" s="131">
        <f t="shared" si="4"/>
        <v>-3</v>
      </c>
      <c r="E32" s="128">
        <f>IFERROR(VLOOKUP($A32+$B32,Quotes!$A:$AAO,E$3+2,FALSE),0)</f>
        <v>93.25</v>
      </c>
      <c r="F32" s="128">
        <f>IFERROR(VLOOKUP($A32+$B32,Quotes!$A:$AAO,F$3+2,FALSE),0)</f>
        <v>93.1875</v>
      </c>
      <c r="H32" s="79" t="str">
        <f t="shared" si="2"/>
        <v>07/15/2031  0.125%    93.08    93.06    (0.1%)                XXX|</v>
      </c>
    </row>
    <row r="33" spans="1:8" x14ac:dyDescent="0.35">
      <c r="A33" s="125">
        <f>Weights!A44</f>
        <v>48228</v>
      </c>
      <c r="B33" s="126">
        <f>Weights!B44</f>
        <v>1.25E-3</v>
      </c>
      <c r="C33" s="126">
        <f t="shared" si="3"/>
        <v>-6.7980965329694776E-4</v>
      </c>
      <c r="D33" s="131">
        <f t="shared" si="4"/>
        <v>-3</v>
      </c>
      <c r="E33" s="128">
        <f>IFERROR(VLOOKUP($A33+$B33,Quotes!$A:$AAO,E$3+2,FALSE),0)</f>
        <v>91.937499999999986</v>
      </c>
      <c r="F33" s="128">
        <f>IFERROR(VLOOKUP($A33+$B33,Quotes!$A:$AAO,F$3+2,FALSE),0)</f>
        <v>91.875</v>
      </c>
      <c r="H33" s="79" t="str">
        <f t="shared" si="2"/>
        <v>01/15/2032  0.125%    91.30    91.28    (0.1%)                XXX|</v>
      </c>
    </row>
    <row r="34" spans="1:8" x14ac:dyDescent="0.35">
      <c r="A34" s="125">
        <f>Weights!A45</f>
        <v>48319</v>
      </c>
      <c r="B34" s="126">
        <f>Weights!B45</f>
        <v>3.3750000000000002E-2</v>
      </c>
      <c r="C34" s="126">
        <f t="shared" si="3"/>
        <v>-8.41042893187538E-4</v>
      </c>
      <c r="D34" s="131">
        <f t="shared" si="4"/>
        <v>-4</v>
      </c>
      <c r="E34" s="128">
        <f>IFERROR(VLOOKUP($A34+$B34,Quotes!$A:$AAO,E$3+2,FALSE),0)</f>
        <v>111.46875000000001</v>
      </c>
      <c r="F34" s="128">
        <f>IFERROR(VLOOKUP($A34+$B34,Quotes!$A:$AAO,F$3+2,FALSE),0)</f>
        <v>111.37500000000001</v>
      </c>
      <c r="H34" s="79" t="str">
        <f t="shared" si="2"/>
        <v>04/15/2032  3.375%   111.15   111.12    (0.1%)               XXXX|</v>
      </c>
    </row>
    <row r="35" spans="1:8" x14ac:dyDescent="0.35">
      <c r="A35" s="125">
        <f>Weights!A46</f>
        <v>48410</v>
      </c>
      <c r="B35" s="126">
        <f>Weights!B46</f>
        <v>6.2500000000000003E-3</v>
      </c>
      <c r="C35" s="126">
        <f t="shared" si="3"/>
        <v>-9.9173553719011931E-4</v>
      </c>
      <c r="D35" s="131">
        <f t="shared" si="4"/>
        <v>-5</v>
      </c>
      <c r="E35" s="128">
        <f>IFERROR(VLOOKUP($A35+$B35,Quotes!$A:$AAO,E$3+2,FALSE),0)</f>
        <v>94.53125</v>
      </c>
      <c r="F35" s="128">
        <f>IFERROR(VLOOKUP($A35+$B35,Quotes!$A:$AAO,F$3+2,FALSE),0)</f>
        <v>94.4375</v>
      </c>
      <c r="H35" s="79" t="str">
        <f t="shared" si="2"/>
        <v>07/15/2032  0.625%    94.17    94.14    (0.1%)              XXXXX|</v>
      </c>
    </row>
    <row r="36" spans="1:8" x14ac:dyDescent="0.35">
      <c r="A36" s="125">
        <f>Weights!A47</f>
        <v>48594</v>
      </c>
      <c r="B36" s="126">
        <f>Weights!B47</f>
        <v>1.125E-2</v>
      </c>
      <c r="C36" s="126">
        <f t="shared" si="3"/>
        <v>-9.6899224806201723E-4</v>
      </c>
      <c r="D36" s="131">
        <f t="shared" si="4"/>
        <v>-5</v>
      </c>
      <c r="E36" s="128">
        <f>IFERROR(VLOOKUP($A36+$B36,Quotes!$A:$AAO,E$3+2,FALSE),0)</f>
        <v>96.749999999999986</v>
      </c>
      <c r="F36" s="128">
        <f>IFERROR(VLOOKUP($A36+$B36,Quotes!$A:$AAO,F$3+2,FALSE),0)</f>
        <v>96.656249999999986</v>
      </c>
      <c r="H36" s="79" t="str">
        <f t="shared" si="2"/>
        <v>01/15/2033  1.125%    96.24    96.21    (0.1%)              XXXXX|</v>
      </c>
    </row>
    <row r="37" spans="1:8" x14ac:dyDescent="0.35">
      <c r="A37" s="125">
        <f>Weights!A48</f>
        <v>48775</v>
      </c>
      <c r="B37" s="126">
        <f>Weights!B48</f>
        <v>1.375E-2</v>
      </c>
      <c r="C37" s="126">
        <f t="shared" si="3"/>
        <v>-6.355258976802336E-4</v>
      </c>
      <c r="D37" s="131">
        <f t="shared" si="4"/>
        <v>-3</v>
      </c>
      <c r="E37" s="128">
        <f>IFERROR(VLOOKUP($A37+$B37,Quotes!$A:$AAO,E$3+2,FALSE),0)</f>
        <v>98.34375</v>
      </c>
      <c r="F37" s="128">
        <f>IFERROR(VLOOKUP($A37+$B37,Quotes!$A:$AAO,F$3+2,FALSE),0)</f>
        <v>98.281250000000014</v>
      </c>
      <c r="H37" s="79" t="str">
        <f t="shared" si="2"/>
        <v>07/15/2033  1.375%    98.11    98.09    (0.1%)                XXX|</v>
      </c>
    </row>
    <row r="38" spans="1:8" x14ac:dyDescent="0.35">
      <c r="A38" s="125">
        <f>Weights!A49</f>
        <v>48959</v>
      </c>
      <c r="B38" s="126">
        <f>Weights!B49</f>
        <v>1.7500000000000002E-2</v>
      </c>
      <c r="C38" s="126">
        <f t="shared" ref="C38" si="5">IF(E38=0,0,F38/E38-1)</f>
        <v>-9.3428838368114775E-4</v>
      </c>
      <c r="D38" s="131">
        <f t="shared" ref="D38" si="6">ROUND(B$3*C38,0)</f>
        <v>-5</v>
      </c>
      <c r="E38" s="128">
        <f>IFERROR(VLOOKUP($A38+$B38,Quotes!$A:$AAO,E$3+2,FALSE),0)</f>
        <v>100.34375</v>
      </c>
      <c r="F38" s="128">
        <f>IFERROR(VLOOKUP($A38+$B38,Quotes!$A:$AAO,F$3+2,FALSE),0)</f>
        <v>100.25</v>
      </c>
      <c r="H38" s="79" t="str">
        <f t="shared" ref="H38:H57" si="7">TEXT(A38,"mm/dd/yyyy")&amp;"  "&amp;TEXT(B38,"0.000%")&amp;RIGHT(H$1&amp;TEXT(INT(E38),"##0.")&amp;TEXT((E38-INT(E38))*32,"00"),9)&amp;RIGHT(H$1&amp;TEXT(INT(F38),"##0.")&amp;TEXT((F38-INT(F38))*32,"00"),9)&amp;RIGHT(H$1&amp;TEXT(C38,"_(#0.0%_);(#0.0%)"),10)&amp;"  "&amp;IF(D$58&lt;0,IF(D38&lt;0,IF(D38&gt;D$58,REPT(" ",D38-D$58),"")&amp;REPT("X",-D38),REPT(" ",-D$58))&amp;"|"&amp;IF(D38&gt;0,REPT("X",D38),""),REPT("X",D38))</f>
        <v>01/15/2034  1.750%   100.11   100.08    (0.1%)              XXXXX|</v>
      </c>
    </row>
    <row r="39" spans="1:8" x14ac:dyDescent="0.35">
      <c r="A39" s="125">
        <f>Weights!A50</f>
        <v>49140</v>
      </c>
      <c r="B39" s="126">
        <f>Weights!B50</f>
        <v>1.8749999999999999E-2</v>
      </c>
      <c r="C39" s="126">
        <f t="shared" si="3"/>
        <v>-1.2330456226882225E-3</v>
      </c>
      <c r="D39" s="131">
        <f t="shared" si="4"/>
        <v>-6</v>
      </c>
      <c r="E39" s="128">
        <f>IFERROR(VLOOKUP($A39+$B39,Quotes!$A:$AAO,E$3+2,FALSE),0)</f>
        <v>101.37500000000001</v>
      </c>
      <c r="F39" s="128">
        <f>IFERROR(VLOOKUP($A39+$B39,Quotes!$A:$AAO,F$3+2,FALSE),0)</f>
        <v>101.25</v>
      </c>
      <c r="H39" s="79" t="str">
        <f t="shared" si="7"/>
        <v>07/15/2034  1.875%   101.12   101.08    (0.1%)             XXXXXX|</v>
      </c>
    </row>
    <row r="40" spans="1:8" x14ac:dyDescent="0.35">
      <c r="A40" s="125">
        <f>Weights!A51</f>
        <v>49324</v>
      </c>
      <c r="B40" s="126">
        <f>Weights!B51</f>
        <v>2.1250000000000002E-2</v>
      </c>
      <c r="C40" s="126">
        <f t="shared" si="3"/>
        <v>-9.1240875912412811E-4</v>
      </c>
      <c r="D40" s="131">
        <f t="shared" si="4"/>
        <v>-5</v>
      </c>
      <c r="E40" s="128">
        <f>IFERROR(VLOOKUP($A40+$B40,Quotes!$A:$AAO,E$3+2,FALSE),0)</f>
        <v>102.74999999999999</v>
      </c>
      <c r="F40" s="128">
        <f>IFERROR(VLOOKUP($A40+$B40,Quotes!$A:$AAO,F$3+2,FALSE),0)</f>
        <v>102.65624999999999</v>
      </c>
      <c r="H40" s="79" t="str">
        <f t="shared" si="7"/>
        <v>01/15/2035  2.125%   102.24   102.21    (0.1%)              XXXXX|</v>
      </c>
    </row>
    <row r="41" spans="1:8" x14ac:dyDescent="0.35">
      <c r="A41" s="125">
        <f>Weights!A52</f>
        <v>49505</v>
      </c>
      <c r="B41" s="126">
        <f>Weights!B52</f>
        <v>1.8749999999999999E-2</v>
      </c>
      <c r="C41" s="126">
        <f t="shared" si="3"/>
        <v>-1.2410797393733741E-3</v>
      </c>
      <c r="D41" s="131">
        <f t="shared" si="4"/>
        <v>-6</v>
      </c>
      <c r="E41" s="128">
        <f>IFERROR(VLOOKUP($A41+$B41,Quotes!$A:$AAO,E$3+2,FALSE),0)</f>
        <v>100.71875000000001</v>
      </c>
      <c r="F41" s="128">
        <f>IFERROR(VLOOKUP($A41+$B41,Quotes!$A:$AAO,F$3+2,FALSE),0)</f>
        <v>100.59375</v>
      </c>
      <c r="H41" s="79" t="str">
        <f t="shared" si="7"/>
        <v>07/15/2035  1.875%   100.23   100.19    (0.1%)             XXXXXX|</v>
      </c>
    </row>
    <row r="42" spans="1:8" x14ac:dyDescent="0.35">
      <c r="A42" s="125">
        <f>Weights!A53</f>
        <v>51181</v>
      </c>
      <c r="B42" s="126">
        <f>Weights!B53</f>
        <v>2.1250000000000002E-2</v>
      </c>
      <c r="C42" s="126">
        <f t="shared" si="3"/>
        <v>-9.3080980452997508E-4</v>
      </c>
      <c r="D42" s="131">
        <f t="shared" si="4"/>
        <v>-5</v>
      </c>
      <c r="E42" s="128">
        <f>IFERROR(VLOOKUP($A42+$B42,Quotes!$A:$AAO,E$3+2,FALSE),0)</f>
        <v>100.71875000000001</v>
      </c>
      <c r="F42" s="128">
        <f>IFERROR(VLOOKUP($A42+$B42,Quotes!$A:$AAO,F$3+2,FALSE),0)</f>
        <v>100.62500000000001</v>
      </c>
      <c r="H42" s="79" t="str">
        <f t="shared" si="7"/>
        <v>02/15/2040  2.125%   100.23   100.20    (0.1%)              XXXXX|</v>
      </c>
    </row>
    <row r="43" spans="1:8" x14ac:dyDescent="0.35">
      <c r="A43" s="125">
        <f>Weights!A54</f>
        <v>51547</v>
      </c>
      <c r="B43" s="126">
        <f>Weights!B54</f>
        <v>2.1250000000000002E-2</v>
      </c>
      <c r="C43" s="126">
        <f t="shared" si="3"/>
        <v>-1.5649452269169695E-3</v>
      </c>
      <c r="D43" s="131">
        <f t="shared" si="4"/>
        <v>-8</v>
      </c>
      <c r="E43" s="128">
        <f>IFERROR(VLOOKUP($A43+$B43,Quotes!$A:$AAO,E$3+2,FALSE),0)</f>
        <v>99.843749999999986</v>
      </c>
      <c r="F43" s="128">
        <f>IFERROR(VLOOKUP($A43+$B43,Quotes!$A:$AAO,F$3+2,FALSE),0)</f>
        <v>99.6875</v>
      </c>
      <c r="H43" s="79" t="str">
        <f t="shared" si="7"/>
        <v>02/15/2041  2.125%    99.27    99.22    (0.2%)           XXXXXXXX|</v>
      </c>
    </row>
    <row r="44" spans="1:8" x14ac:dyDescent="0.35">
      <c r="A44" s="125">
        <f>Weights!A55</f>
        <v>51912</v>
      </c>
      <c r="B44" s="126">
        <f>Weights!B55</f>
        <v>7.4999999999999997E-3</v>
      </c>
      <c r="C44" s="126">
        <f t="shared" si="3"/>
        <v>-2.3557126030625541E-3</v>
      </c>
      <c r="D44" s="131">
        <f t="shared" si="4"/>
        <v>-12</v>
      </c>
      <c r="E44" s="128">
        <f>IFERROR(VLOOKUP($A44+$B44,Quotes!$A:$AAO,E$3+2,FALSE),0)</f>
        <v>79.59375</v>
      </c>
      <c r="F44" s="128">
        <f>IFERROR(VLOOKUP($A44+$B44,Quotes!$A:$AAO,F$3+2,FALSE),0)</f>
        <v>79.406249999999986</v>
      </c>
      <c r="H44" s="79" t="str">
        <f t="shared" si="7"/>
        <v>02/15/2042  0.750%    79.19    79.13    (0.2%)       XXXXXXXXXXXX|</v>
      </c>
    </row>
    <row r="45" spans="1:8" x14ac:dyDescent="0.35">
      <c r="A45" s="125">
        <f>Weights!A56</f>
        <v>52277</v>
      </c>
      <c r="B45" s="126">
        <f>Weights!B56</f>
        <v>6.2500000000000003E-3</v>
      </c>
      <c r="C45" s="126">
        <f t="shared" si="3"/>
        <v>-2.4590163934428144E-3</v>
      </c>
      <c r="D45" s="131">
        <f t="shared" si="4"/>
        <v>-12</v>
      </c>
      <c r="E45" s="128">
        <f>IFERROR(VLOOKUP($A45+$B45,Quotes!$A:$AAO,E$3+2,FALSE),0)</f>
        <v>76.25</v>
      </c>
      <c r="F45" s="128">
        <f>IFERROR(VLOOKUP($A45+$B45,Quotes!$A:$AAO,F$3+2,FALSE),0)</f>
        <v>76.062499999999986</v>
      </c>
      <c r="H45" s="79" t="str">
        <f t="shared" si="7"/>
        <v>02/15/2043  0.625%    76.08    76.02    (0.2%)       XXXXXXXXXXXX|</v>
      </c>
    </row>
    <row r="46" spans="1:8" x14ac:dyDescent="0.35">
      <c r="A46" s="125">
        <f>Weights!A57</f>
        <v>52642</v>
      </c>
      <c r="B46" s="126">
        <f>Weights!B57</f>
        <v>1.375E-2</v>
      </c>
      <c r="C46" s="126">
        <f t="shared" si="3"/>
        <v>-2.1842009464870804E-3</v>
      </c>
      <c r="D46" s="131">
        <f t="shared" si="4"/>
        <v>-11</v>
      </c>
      <c r="E46" s="128">
        <f>IFERROR(VLOOKUP($A46+$B46,Quotes!$A:$AAO,E$3+2,FALSE),0)</f>
        <v>85.843749999999986</v>
      </c>
      <c r="F46" s="128">
        <f>IFERROR(VLOOKUP($A46+$B46,Quotes!$A:$AAO,F$3+2,FALSE),0)</f>
        <v>85.656249999999986</v>
      </c>
      <c r="H46" s="79" t="str">
        <f t="shared" si="7"/>
        <v>02/15/2044  1.375%    85.27    85.21    (0.2%)        XXXXXXXXXXX|</v>
      </c>
    </row>
    <row r="47" spans="1:8" x14ac:dyDescent="0.35">
      <c r="A47" s="125">
        <f>Weights!A58</f>
        <v>53008</v>
      </c>
      <c r="B47" s="126">
        <f>Weights!B58</f>
        <v>7.4999999999999997E-3</v>
      </c>
      <c r="C47" s="126">
        <f t="shared" si="3"/>
        <v>-2.4999999999993916E-3</v>
      </c>
      <c r="D47" s="131">
        <f t="shared" si="4"/>
        <v>-12</v>
      </c>
      <c r="E47" s="128">
        <f>IFERROR(VLOOKUP($A47+$B47,Quotes!$A:$AAO,E$3+2,FALSE),0)</f>
        <v>74.999999999999972</v>
      </c>
      <c r="F47" s="128">
        <f>IFERROR(VLOOKUP($A47+$B47,Quotes!$A:$AAO,F$3+2,FALSE),0)</f>
        <v>74.812500000000014</v>
      </c>
      <c r="H47" s="79" t="str">
        <f t="shared" si="7"/>
        <v>02/15/2045  0.750%    75.00    74.26    (0.2%)       XXXXXXXXXXXX|</v>
      </c>
    </row>
    <row r="48" spans="1:8" x14ac:dyDescent="0.35">
      <c r="A48" s="125">
        <f>Weights!A59</f>
        <v>53373</v>
      </c>
      <c r="B48" s="126">
        <f>Weights!B59</f>
        <v>0.01</v>
      </c>
      <c r="C48" s="126">
        <f t="shared" si="3"/>
        <v>-2.4183796856106499E-3</v>
      </c>
      <c r="D48" s="131">
        <f t="shared" si="4"/>
        <v>-12</v>
      </c>
      <c r="E48" s="128">
        <f>IFERROR(VLOOKUP($A48+$B48,Quotes!$A:$AAO,E$3+2,FALSE),0)</f>
        <v>77.53125</v>
      </c>
      <c r="F48" s="128">
        <f>IFERROR(VLOOKUP($A48+$B48,Quotes!$A:$AAO,F$3+2,FALSE),0)</f>
        <v>77.34375</v>
      </c>
      <c r="H48" s="79" t="str">
        <f t="shared" si="7"/>
        <v>02/15/2046  1.000%    77.17    77.11    (0.2%)       XXXXXXXXXXXX|</v>
      </c>
    </row>
    <row r="49" spans="1:8" x14ac:dyDescent="0.35">
      <c r="A49" s="125">
        <f>Weights!A60</f>
        <v>53738</v>
      </c>
      <c r="B49" s="126">
        <f>Weights!B60</f>
        <v>8.7500000000000008E-3</v>
      </c>
      <c r="C49" s="126">
        <f t="shared" si="3"/>
        <v>-2.5241901556586344E-3</v>
      </c>
      <c r="D49" s="131">
        <f t="shared" si="4"/>
        <v>-13</v>
      </c>
      <c r="E49" s="128">
        <f>IFERROR(VLOOKUP($A49+$B49,Quotes!$A:$AAO,E$3+2,FALSE),0)</f>
        <v>74.281250000000014</v>
      </c>
      <c r="F49" s="128">
        <f>IFERROR(VLOOKUP($A49+$B49,Quotes!$A:$AAO,F$3+2,FALSE),0)</f>
        <v>74.09375</v>
      </c>
      <c r="H49" s="79" t="str">
        <f t="shared" si="7"/>
        <v>02/15/2047  0.875%    74.09    74.03    (0.3%)      XXXXXXXXXXXXX|</v>
      </c>
    </row>
    <row r="50" spans="1:8" x14ac:dyDescent="0.35">
      <c r="A50" s="125">
        <f>Weights!A61</f>
        <v>54103</v>
      </c>
      <c r="B50" s="126">
        <f>Weights!B61</f>
        <v>0.01</v>
      </c>
      <c r="C50" s="126">
        <f t="shared" si="3"/>
        <v>-2.4896265560162556E-3</v>
      </c>
      <c r="D50" s="131">
        <f t="shared" si="4"/>
        <v>-12</v>
      </c>
      <c r="E50" s="128">
        <f>IFERROR(VLOOKUP($A50+$B50,Quotes!$A:$AAO,E$3+2,FALSE),0)</f>
        <v>75.312499999999986</v>
      </c>
      <c r="F50" s="128">
        <f>IFERROR(VLOOKUP($A50+$B50,Quotes!$A:$AAO,F$3+2,FALSE),0)</f>
        <v>75.125000000000014</v>
      </c>
      <c r="H50" s="79" t="str">
        <f t="shared" si="7"/>
        <v>02/15/2048  1.000%    75.10    75.04    (0.2%)       XXXXXXXXXXXX|</v>
      </c>
    </row>
    <row r="51" spans="1:8" x14ac:dyDescent="0.35">
      <c r="A51" s="125">
        <f>Weights!A62</f>
        <v>54469</v>
      </c>
      <c r="B51" s="126">
        <f>Weights!B62</f>
        <v>0.01</v>
      </c>
      <c r="C51" s="126">
        <f t="shared" si="3"/>
        <v>-2.106149957876835E-3</v>
      </c>
      <c r="D51" s="131">
        <f t="shared" si="4"/>
        <v>-11</v>
      </c>
      <c r="E51" s="128">
        <f>IFERROR(VLOOKUP($A51+$B51,Quotes!$A:$AAO,E$3+2,FALSE),0)</f>
        <v>74.1875</v>
      </c>
      <c r="F51" s="128">
        <f>IFERROR(VLOOKUP($A51+$B51,Quotes!$A:$AAO,F$3+2,FALSE),0)</f>
        <v>74.031250000000014</v>
      </c>
      <c r="H51" s="79" t="str">
        <f t="shared" si="7"/>
        <v>02/15/2049  1.000%    74.06    74.01    (0.2%)        XXXXXXXXXXX|</v>
      </c>
    </row>
    <row r="52" spans="1:8" x14ac:dyDescent="0.35">
      <c r="A52" s="125">
        <f>Weights!A63</f>
        <v>54834</v>
      </c>
      <c r="B52" s="126">
        <f>Weights!B63</f>
        <v>2.5000000000000001E-3</v>
      </c>
      <c r="C52" s="126">
        <f t="shared" si="3"/>
        <v>-3.1463030938644332E-3</v>
      </c>
      <c r="D52" s="131">
        <f t="shared" si="4"/>
        <v>-16</v>
      </c>
      <c r="E52" s="128">
        <f>IFERROR(VLOOKUP($A52+$B52,Quotes!$A:$AAO,E$3+2,FALSE),0)</f>
        <v>59.593749999999993</v>
      </c>
      <c r="F52" s="128">
        <f>IFERROR(VLOOKUP($A52+$B52,Quotes!$A:$AAO,F$3+2,FALSE),0)</f>
        <v>59.406250000000007</v>
      </c>
      <c r="H52" s="79" t="str">
        <f t="shared" si="7"/>
        <v>02/15/2050  0.250%    59.19    59.13    (0.3%)   XXXXXXXXXXXXXXXX|</v>
      </c>
    </row>
    <row r="53" spans="1:8" x14ac:dyDescent="0.35">
      <c r="A53" s="125">
        <f>Weights!A64</f>
        <v>55199</v>
      </c>
      <c r="B53" s="126">
        <f>Weights!B64</f>
        <v>1.25E-3</v>
      </c>
      <c r="C53" s="126">
        <f t="shared" si="3"/>
        <v>-2.7932960893853886E-3</v>
      </c>
      <c r="D53" s="131">
        <f t="shared" si="4"/>
        <v>-14</v>
      </c>
      <c r="E53" s="128">
        <f>IFERROR(VLOOKUP($A53+$B53,Quotes!$A:$AAO,E$3+2,FALSE),0)</f>
        <v>55.937499999999993</v>
      </c>
      <c r="F53" s="128">
        <f>IFERROR(VLOOKUP($A53+$B53,Quotes!$A:$AAO,F$3+2,FALSE),0)</f>
        <v>55.78125</v>
      </c>
      <c r="H53" s="79" t="str">
        <f t="shared" si="7"/>
        <v>02/15/2051  0.125%    55.30    55.25    (0.3%)     XXXXXXXXXXXXXX|</v>
      </c>
    </row>
    <row r="54" spans="1:8" x14ac:dyDescent="0.35">
      <c r="A54" s="125">
        <f>Weights!A65</f>
        <v>55564</v>
      </c>
      <c r="B54" s="126">
        <f>Weights!B65</f>
        <v>1.25E-3</v>
      </c>
      <c r="C54" s="126">
        <f t="shared" ref="C54" si="8">IF(E54=0,0,F54/E54-1)</f>
        <v>-3.4227039361096612E-3</v>
      </c>
      <c r="D54" s="131">
        <f t="shared" ref="D54" si="9">ROUND(B$3*C54,0)</f>
        <v>-17</v>
      </c>
      <c r="E54" s="128">
        <f>IFERROR(VLOOKUP($A54+$B54,Quotes!$A:$AAO,E$3+2,FALSE),0)</f>
        <v>54.78125</v>
      </c>
      <c r="F54" s="128">
        <f>IFERROR(VLOOKUP($A54+$B54,Quotes!$A:$AAO,F$3+2,FALSE),0)</f>
        <v>54.593749999999993</v>
      </c>
      <c r="H54" s="79" t="str">
        <f t="shared" si="7"/>
        <v>02/15/2052  0.125%    54.25    54.19    (0.3%)  XXXXXXXXXXXXXXXXX|</v>
      </c>
    </row>
    <row r="55" spans="1:8" x14ac:dyDescent="0.35">
      <c r="A55" s="125">
        <f>Weights!A66</f>
        <v>55930</v>
      </c>
      <c r="B55" s="126">
        <f>Weights!B66</f>
        <v>1.4999999999999999E-2</v>
      </c>
      <c r="C55" s="126">
        <f t="shared" ref="C55" si="10">IF(E55=0,0,F55/E55-1)</f>
        <v>-2.3282887077997749E-3</v>
      </c>
      <c r="D55" s="131">
        <f t="shared" ref="D55" si="11">ROUND(B$3*C55,0)</f>
        <v>-12</v>
      </c>
      <c r="E55" s="128">
        <f>IFERROR(VLOOKUP($A55+$B55,Quotes!$A:$AAO,E$3+2,FALSE),0)</f>
        <v>80.53125</v>
      </c>
      <c r="F55" s="128">
        <f>IFERROR(VLOOKUP($A55+$B55,Quotes!$A:$AAO,F$3+2,FALSE),0)</f>
        <v>80.34375</v>
      </c>
      <c r="H55" s="79" t="str">
        <f t="shared" si="7"/>
        <v>02/15/2053  1.500%    80.17    80.11    (0.2%)       XXXXXXXXXXXX|</v>
      </c>
    </row>
    <row r="56" spans="1:8" x14ac:dyDescent="0.35">
      <c r="A56" s="125">
        <f>Weights!A67</f>
        <v>56295</v>
      </c>
      <c r="B56" s="126">
        <f>Weights!B67</f>
        <v>2.1250000000000002E-2</v>
      </c>
      <c r="C56" s="126">
        <f t="shared" ref="C56:C57" si="12">IF(E56=0,0,F56/E56-1)</f>
        <v>-2.6936026936025259E-3</v>
      </c>
      <c r="D56" s="131">
        <f t="shared" ref="D56:D57" si="13">ROUND(B$3*C56,0)</f>
        <v>-13</v>
      </c>
      <c r="E56" s="128">
        <f>IFERROR(VLOOKUP($A56+$B56,Quotes!$A:$AAO,E$3+2,FALSE),0)</f>
        <v>92.812500000000014</v>
      </c>
      <c r="F56" s="128">
        <f>IFERROR(VLOOKUP($A56+$B56,Quotes!$A:$AAO,F$3+2,FALSE),0)</f>
        <v>92.562500000000028</v>
      </c>
      <c r="H56" s="79" t="str">
        <f t="shared" si="7"/>
        <v>02/15/2054  2.125%    92.26    92.18    (0.3%)      XXXXXXXXXXXXX|</v>
      </c>
    </row>
    <row r="57" spans="1:8" x14ac:dyDescent="0.35">
      <c r="A57" s="125">
        <f>Weights!A68</f>
        <v>56660</v>
      </c>
      <c r="B57" s="126">
        <f>Weights!B68</f>
        <v>2.375E-2</v>
      </c>
      <c r="C57" s="126">
        <f t="shared" si="12"/>
        <v>-2.8662420382168374E-3</v>
      </c>
      <c r="D57" s="131">
        <f t="shared" si="13"/>
        <v>-14</v>
      </c>
      <c r="E57" s="128">
        <f>IFERROR(VLOOKUP($A57+$B57,Quotes!$A:$AAO,E$3+2,FALSE),0)</f>
        <v>98.125000000000014</v>
      </c>
      <c r="F57" s="128">
        <f>IFERROR(VLOOKUP($A57+$B57,Quotes!$A:$AAO,F$3+2,FALSE),0)</f>
        <v>97.843749999999986</v>
      </c>
      <c r="H57" s="79" t="str">
        <f t="shared" si="7"/>
        <v>02/15/2055  2.375%    98.04    97.27    (0.3%)     XXXXXXXXXXXXXX|</v>
      </c>
    </row>
    <row r="58" spans="1:8" x14ac:dyDescent="0.35">
      <c r="A58" t="s">
        <v>175</v>
      </c>
      <c r="D58" s="131">
        <f>MIN(D6:D55)</f>
        <v>-17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073F54-4462-43E3-B714-60026C966BEC}">
  <dimension ref="A1:H58"/>
  <sheetViews>
    <sheetView zoomScale="90" zoomScaleNormal="90" workbookViewId="0">
      <pane ySplit="5" topLeftCell="A6" activePane="bottomLeft" state="frozen"/>
      <selection activeCell="B4" sqref="B4"/>
      <selection pane="bottomLeft" activeCell="E3" sqref="E3"/>
    </sheetView>
  </sheetViews>
  <sheetFormatPr defaultRowHeight="14.5" x14ac:dyDescent="0.35"/>
  <cols>
    <col min="1" max="1" width="11.1796875" bestFit="1" customWidth="1"/>
    <col min="4" max="4" width="4.08984375" bestFit="1" customWidth="1"/>
    <col min="5" max="5" width="12.1796875" customWidth="1"/>
    <col min="6" max="6" width="11.453125" customWidth="1"/>
    <col min="7" max="7" width="2.6328125" customWidth="1"/>
    <col min="8" max="8" width="8.81640625" style="79"/>
  </cols>
  <sheetData>
    <row r="1" spans="1:8" x14ac:dyDescent="0.35">
      <c r="E1" s="27" t="s">
        <v>168</v>
      </c>
      <c r="F1" s="27" t="s">
        <v>169</v>
      </c>
      <c r="H1" s="132" t="str">
        <f>REPT(" ",40)</f>
        <v xml:space="preserve">                                        </v>
      </c>
    </row>
    <row r="2" spans="1:8" x14ac:dyDescent="0.35">
      <c r="E2" s="108">
        <v>5</v>
      </c>
      <c r="F2" s="108">
        <v>1</v>
      </c>
      <c r="H2" s="129" t="s">
        <v>173</v>
      </c>
    </row>
    <row r="3" spans="1:8" x14ac:dyDescent="0.35">
      <c r="A3" t="s">
        <v>172</v>
      </c>
      <c r="B3">
        <v>20000</v>
      </c>
      <c r="E3" s="8">
        <f>4*(E2-1)+4</f>
        <v>20</v>
      </c>
      <c r="F3" s="8">
        <f>4*(F2-1)+4</f>
        <v>4</v>
      </c>
      <c r="H3" s="130" t="s">
        <v>174</v>
      </c>
    </row>
    <row r="4" spans="1:8" x14ac:dyDescent="0.35">
      <c r="E4" s="8"/>
      <c r="F4" s="8"/>
      <c r="H4" s="170" t="str">
        <f>REPT(" ",20)&amp;"--------- Yield ---------"</f>
        <v xml:space="preserve">                    --------- Yield ---------</v>
      </c>
    </row>
    <row r="5" spans="1:8" x14ac:dyDescent="0.35">
      <c r="A5" t="s">
        <v>166</v>
      </c>
      <c r="B5" t="s">
        <v>99</v>
      </c>
      <c r="C5" s="27" t="s">
        <v>170</v>
      </c>
      <c r="D5" s="27" t="s">
        <v>171</v>
      </c>
      <c r="E5" s="1" cm="1">
        <f t="array" ref="E5">INDEX(Quotes!1:1,1,E3+1)</f>
        <v>45961</v>
      </c>
      <c r="F5" s="1" cm="1">
        <f t="array" ref="F5">INDEX(Quotes!1:1,1,F3+1)</f>
        <v>45968</v>
      </c>
      <c r="H5" s="79" t="str">
        <f>"  Matures   Coupon"&amp;RIGHT(H1&amp;TEXT(E5,"m/d/yy"),9)&amp;RIGHT(H1&amp;TEXT(F5,"m/d/yy"),9)&amp;"   Change"</f>
        <v xml:space="preserve">  Matures   Coupon 10/31/25  11/7/25   Change</v>
      </c>
    </row>
    <row r="6" spans="1:8" x14ac:dyDescent="0.35">
      <c r="A6" s="125">
        <f>Weights!A16</f>
        <v>46037</v>
      </c>
      <c r="B6" s="126">
        <f>Weights!B16</f>
        <v>6.2500000000000003E-3</v>
      </c>
      <c r="C6" s="126">
        <f t="shared" ref="C6:C53" si="0">IF(E6=0,0,F6-E6)</f>
        <v>7.5000000000000067E-4</v>
      </c>
      <c r="D6" s="131">
        <f t="shared" ref="D6:D53" si="1">ROUND(B$3*C6,0)</f>
        <v>15</v>
      </c>
      <c r="E6" s="126">
        <f>IFERROR(VLOOKUP($A6+$B6,Quotes!$A:$AAO,E$3+3,FALSE),0)</f>
        <v>2.0139999999999998E-2</v>
      </c>
      <c r="F6" s="126">
        <f>IFERROR(VLOOKUP($A6+$B6,Quotes!$A:$AAO,F$3+3,FALSE),0)</f>
        <v>2.0889999999999999E-2</v>
      </c>
      <c r="H6" s="79" t="str">
        <f t="shared" ref="H6:H37" si="2">TEXT(A6,"mm/dd/yyyy")&amp;"  "&amp;TEXT(B6,"0.000%")&amp;RIGHT(H$1&amp;TEXT(E6,"#0.000%"),9)&amp;RIGHT(H$1&amp;TEXT(F6,"#0.000%"),9)&amp;RIGHT(H$1&amp;TEXT(C6,"#0.000%"),9)&amp;"  "&amp;IF(D$58&lt;0,IF(D6&lt;0,IF(D6&gt;D$58,REPT(" ",D6-D$58),"")&amp;REPT("X",-D6),REPT(" ",-D$58))&amp;"|"&amp;IF(D6&gt;0,REPT("X",D6),""),REPT("X",D6))</f>
        <v>01/15/2026  0.625%   2.014%   2.089%   0.075%  XXXXXXXXXXXXXXX</v>
      </c>
    </row>
    <row r="7" spans="1:8" x14ac:dyDescent="0.35">
      <c r="A7" s="125">
        <f>Weights!A17</f>
        <v>46037</v>
      </c>
      <c r="B7" s="126">
        <f>Weights!B17</f>
        <v>0.02</v>
      </c>
      <c r="C7" s="126">
        <f t="shared" si="0"/>
        <v>7.100000000000023E-4</v>
      </c>
      <c r="D7" s="131">
        <f t="shared" si="1"/>
        <v>14</v>
      </c>
      <c r="E7" s="126">
        <f>IFERROR(VLOOKUP($A7+$B7,Quotes!$A:$AAO,E$3+3,FALSE),0)</f>
        <v>2.121E-2</v>
      </c>
      <c r="F7" s="126">
        <f>IFERROR(VLOOKUP($A7+$B7,Quotes!$A:$AAO,F$3+3,FALSE),0)</f>
        <v>2.1920000000000002E-2</v>
      </c>
      <c r="H7" s="79" t="str">
        <f t="shared" si="2"/>
        <v>01/15/2026  2.000%   2.121%   2.192%   0.071%  XXXXXXXXXXXXXX</v>
      </c>
    </row>
    <row r="8" spans="1:8" x14ac:dyDescent="0.35">
      <c r="A8" s="125">
        <f>Weights!A18</f>
        <v>46127</v>
      </c>
      <c r="B8" s="126">
        <f>Weights!B18</f>
        <v>1.25E-3</v>
      </c>
      <c r="C8" s="126">
        <f t="shared" si="0"/>
        <v>1.4799999999999987E-3</v>
      </c>
      <c r="D8" s="131">
        <f t="shared" si="1"/>
        <v>30</v>
      </c>
      <c r="E8" s="126">
        <f>IFERROR(VLOOKUP($A8+$B8,Quotes!$A:$AAO,E$3+3,FALSE),0)</f>
        <v>1.576E-2</v>
      </c>
      <c r="F8" s="126">
        <f>IFERROR(VLOOKUP($A8+$B8,Quotes!$A:$AAO,F$3+3,FALSE),0)</f>
        <v>1.7239999999999998E-2</v>
      </c>
      <c r="H8" s="79" t="str">
        <f t="shared" si="2"/>
        <v>04/15/2026  0.125%   1.576%   1.724%   0.148%  XXXXXXXXXXXXXXXXXXXXXXXXXXXXXX</v>
      </c>
    </row>
    <row r="9" spans="1:8" x14ac:dyDescent="0.35">
      <c r="A9" s="125">
        <f>Weights!A19</f>
        <v>46218</v>
      </c>
      <c r="B9" s="126">
        <f>Weights!B19</f>
        <v>1.25E-3</v>
      </c>
      <c r="C9" s="126">
        <f t="shared" si="0"/>
        <v>9.5000000000000119E-4</v>
      </c>
      <c r="D9" s="131">
        <f t="shared" si="1"/>
        <v>19</v>
      </c>
      <c r="E9" s="126">
        <f>IFERROR(VLOOKUP($A9+$B9,Quotes!$A:$AAO,E$3+3,FALSE),0)</f>
        <v>8.7899999999999992E-3</v>
      </c>
      <c r="F9" s="126">
        <f>IFERROR(VLOOKUP($A9+$B9,Quotes!$A:$AAO,F$3+3,FALSE),0)</f>
        <v>9.7400000000000004E-3</v>
      </c>
      <c r="H9" s="79" t="str">
        <f t="shared" si="2"/>
        <v>07/15/2026  0.125%   0.879%   0.974%   0.095%  XXXXXXXXXXXXXXXXXXX</v>
      </c>
    </row>
    <row r="10" spans="1:8" x14ac:dyDescent="0.35">
      <c r="A10" s="125">
        <f>Weights!A20</f>
        <v>46310</v>
      </c>
      <c r="B10" s="126">
        <f>Weights!B20</f>
        <v>1.25E-3</v>
      </c>
      <c r="C10" s="126">
        <f t="shared" si="0"/>
        <v>4.0000000000000105E-4</v>
      </c>
      <c r="D10" s="131">
        <f t="shared" si="1"/>
        <v>8</v>
      </c>
      <c r="E10" s="126">
        <f>IFERROR(VLOOKUP($A10+$B10,Quotes!$A:$AAO,E$3+3,FALSE),0)</f>
        <v>9.6399999999999993E-3</v>
      </c>
      <c r="F10" s="126">
        <f>IFERROR(VLOOKUP($A10+$B10,Quotes!$A:$AAO,F$3+3,FALSE),0)</f>
        <v>1.004E-2</v>
      </c>
      <c r="H10" s="79" t="str">
        <f t="shared" si="2"/>
        <v>10/15/2026  0.125%   0.964%   1.004%   0.040%  XXXXXXXX</v>
      </c>
    </row>
    <row r="11" spans="1:8" x14ac:dyDescent="0.35">
      <c r="A11" s="125">
        <f>Weights!A21</f>
        <v>46402</v>
      </c>
      <c r="B11" s="126">
        <f>Weights!B21</f>
        <v>3.7499999999999999E-3</v>
      </c>
      <c r="C11" s="126">
        <f t="shared" si="0"/>
        <v>3.7000000000000227E-4</v>
      </c>
      <c r="D11" s="131">
        <f t="shared" si="1"/>
        <v>7</v>
      </c>
      <c r="E11" s="126">
        <f>IFERROR(VLOOKUP($A11+$B11,Quotes!$A:$AAO,E$3+3,FALSE),0)</f>
        <v>1.2669999999999999E-2</v>
      </c>
      <c r="F11" s="126">
        <f>IFERROR(VLOOKUP($A11+$B11,Quotes!$A:$AAO,F$3+3,FALSE),0)</f>
        <v>1.3040000000000001E-2</v>
      </c>
      <c r="H11" s="79" t="str">
        <f t="shared" si="2"/>
        <v>01/15/2027  0.375%   1.267%   1.304%   0.037%  XXXXXXX</v>
      </c>
    </row>
    <row r="12" spans="1:8" x14ac:dyDescent="0.35">
      <c r="A12" s="125">
        <f>Weights!A22</f>
        <v>46402</v>
      </c>
      <c r="B12" s="126">
        <f>Weights!B22</f>
        <v>2.375E-2</v>
      </c>
      <c r="C12" s="126">
        <f t="shared" si="0"/>
        <v>5.2000000000000136E-4</v>
      </c>
      <c r="D12" s="131">
        <f t="shared" si="1"/>
        <v>10</v>
      </c>
      <c r="E12" s="126">
        <f>IFERROR(VLOOKUP($A12+$B12,Quotes!$A:$AAO,E$3+3,FALSE),0)</f>
        <v>1.2549999999999999E-2</v>
      </c>
      <c r="F12" s="126">
        <f>IFERROR(VLOOKUP($A12+$B12,Quotes!$A:$AAO,F$3+3,FALSE),0)</f>
        <v>1.307E-2</v>
      </c>
      <c r="H12" s="79" t="str">
        <f t="shared" si="2"/>
        <v>01/15/2027  2.375%   1.255%   1.307%   0.052%  XXXXXXXXXX</v>
      </c>
    </row>
    <row r="13" spans="1:8" x14ac:dyDescent="0.35">
      <c r="A13" s="125">
        <f>Weights!A23</f>
        <v>46492</v>
      </c>
      <c r="B13" s="126">
        <f>Weights!B23</f>
        <v>1.25E-3</v>
      </c>
      <c r="C13" s="126">
        <f t="shared" si="0"/>
        <v>4.0999999999999891E-4</v>
      </c>
      <c r="D13" s="131">
        <f t="shared" si="1"/>
        <v>8</v>
      </c>
      <c r="E13" s="126">
        <f>IFERROR(VLOOKUP($A13+$B13,Quotes!$A:$AAO,E$3+3,FALSE),0)</f>
        <v>1.3040000000000001E-2</v>
      </c>
      <c r="F13" s="126">
        <f>IFERROR(VLOOKUP($A13+$B13,Quotes!$A:$AAO,F$3+3,FALSE),0)</f>
        <v>1.345E-2</v>
      </c>
      <c r="H13" s="79" t="str">
        <f t="shared" si="2"/>
        <v>04/15/2027  0.125%   1.304%   1.345%   0.041%  XXXXXXXX</v>
      </c>
    </row>
    <row r="14" spans="1:8" x14ac:dyDescent="0.35">
      <c r="A14" s="125">
        <f>Weights!A24</f>
        <v>46583</v>
      </c>
      <c r="B14" s="126">
        <f>Weights!B24</f>
        <v>3.7499999999999999E-3</v>
      </c>
      <c r="C14" s="126">
        <f t="shared" si="0"/>
        <v>2.8000000000000073E-4</v>
      </c>
      <c r="D14" s="131">
        <f t="shared" si="1"/>
        <v>6</v>
      </c>
      <c r="E14" s="126">
        <f>IFERROR(VLOOKUP($A14+$B14,Quotes!$A:$AAO,E$3+3,FALSE),0)</f>
        <v>9.4999999999999998E-3</v>
      </c>
      <c r="F14" s="126">
        <f>IFERROR(VLOOKUP($A14+$B14,Quotes!$A:$AAO,F$3+3,FALSE),0)</f>
        <v>9.7800000000000005E-3</v>
      </c>
      <c r="H14" s="79" t="str">
        <f t="shared" si="2"/>
        <v>07/15/2027  0.375%   0.950%   0.978%   0.028%  XXXXXX</v>
      </c>
    </row>
    <row r="15" spans="1:8" x14ac:dyDescent="0.35">
      <c r="A15" s="125">
        <f>Weights!A25</f>
        <v>46675</v>
      </c>
      <c r="B15" s="126">
        <f>Weights!B25</f>
        <v>1.6250000000000001E-2</v>
      </c>
      <c r="C15" s="126">
        <f t="shared" si="0"/>
        <v>4.3999999999999942E-4</v>
      </c>
      <c r="D15" s="131">
        <f t="shared" si="1"/>
        <v>9</v>
      </c>
      <c r="E15" s="126">
        <f>IFERROR(VLOOKUP($A15+$B15,Quotes!$A:$AAO,E$3+3,FALSE),0)</f>
        <v>9.8700000000000003E-3</v>
      </c>
      <c r="F15" s="126">
        <f>IFERROR(VLOOKUP($A15+$B15,Quotes!$A:$AAO,F$3+3,FALSE),0)</f>
        <v>1.031E-2</v>
      </c>
      <c r="H15" s="79" t="str">
        <f t="shared" si="2"/>
        <v>10/15/2027  1.625%   0.987%   1.031%   0.044%  XXXXXXXXX</v>
      </c>
    </row>
    <row r="16" spans="1:8" x14ac:dyDescent="0.35">
      <c r="A16" s="125">
        <f>Weights!A26</f>
        <v>46767</v>
      </c>
      <c r="B16" s="126">
        <f>Weights!B26</f>
        <v>5.0000000000000001E-3</v>
      </c>
      <c r="C16" s="126">
        <f t="shared" si="0"/>
        <v>4.0999999999999891E-4</v>
      </c>
      <c r="D16" s="131">
        <f t="shared" si="1"/>
        <v>8</v>
      </c>
      <c r="E16" s="126">
        <f>IFERROR(VLOOKUP($A16+$B16,Quotes!$A:$AAO,E$3+3,FALSE),0)</f>
        <v>1.191E-2</v>
      </c>
      <c r="F16" s="126">
        <f>IFERROR(VLOOKUP($A16+$B16,Quotes!$A:$AAO,F$3+3,FALSE),0)</f>
        <v>1.2319999999999999E-2</v>
      </c>
      <c r="H16" s="79" t="str">
        <f t="shared" si="2"/>
        <v>01/15/2028  0.500%   1.191%   1.232%   0.041%  XXXXXXXX</v>
      </c>
    </row>
    <row r="17" spans="1:8" x14ac:dyDescent="0.35">
      <c r="A17" s="125">
        <f>Weights!A27</f>
        <v>46767</v>
      </c>
      <c r="B17" s="126">
        <f>Weights!B27</f>
        <v>1.7500000000000002E-2</v>
      </c>
      <c r="C17" s="126">
        <f t="shared" si="0"/>
        <v>3.299999999999987E-4</v>
      </c>
      <c r="D17" s="131">
        <f t="shared" si="1"/>
        <v>7</v>
      </c>
      <c r="E17" s="126">
        <f>IFERROR(VLOOKUP($A17+$B17,Quotes!$A:$AAO,E$3+3,FALSE),0)</f>
        <v>1.1930000000000001E-2</v>
      </c>
      <c r="F17" s="126">
        <f>IFERROR(VLOOKUP($A17+$B17,Quotes!$A:$AAO,F$3+3,FALSE),0)</f>
        <v>1.226E-2</v>
      </c>
      <c r="H17" s="79" t="str">
        <f t="shared" si="2"/>
        <v>01/15/2028  1.750%   1.193%   1.226%   0.033%  XXXXXXX</v>
      </c>
    </row>
    <row r="18" spans="1:8" x14ac:dyDescent="0.35">
      <c r="A18" s="125">
        <f>Weights!A28</f>
        <v>46858</v>
      </c>
      <c r="B18" s="126">
        <f>Weights!B28</f>
        <v>1.2500000000000001E-2</v>
      </c>
      <c r="C18" s="126">
        <f t="shared" si="0"/>
        <v>2.5000000000000022E-4</v>
      </c>
      <c r="D18" s="131">
        <f t="shared" si="1"/>
        <v>5</v>
      </c>
      <c r="E18" s="126">
        <f>IFERROR(VLOOKUP($A18+$B18,Quotes!$A:$AAO,E$3+3,FALSE),0)</f>
        <v>1.2529999999999999E-2</v>
      </c>
      <c r="F18" s="126">
        <f>IFERROR(VLOOKUP($A18+$B18,Quotes!$A:$AAO,F$3+3,FALSE),0)</f>
        <v>1.278E-2</v>
      </c>
      <c r="H18" s="79" t="str">
        <f t="shared" si="2"/>
        <v>04/15/2028  1.250%   1.253%   1.278%   0.025%  XXXXX</v>
      </c>
    </row>
    <row r="19" spans="1:8" x14ac:dyDescent="0.35">
      <c r="A19" s="125">
        <f>Weights!A29</f>
        <v>46858</v>
      </c>
      <c r="B19" s="126">
        <f>Weights!B29</f>
        <v>3.6249999999999998E-2</v>
      </c>
      <c r="C19" s="126">
        <f t="shared" si="0"/>
        <v>3.0999999999999951E-4</v>
      </c>
      <c r="D19" s="131">
        <f t="shared" si="1"/>
        <v>6</v>
      </c>
      <c r="E19" s="126">
        <f>IFERROR(VLOOKUP($A19+$B19,Quotes!$A:$AAO,E$3+3,FALSE),0)</f>
        <v>1.2330000000000001E-2</v>
      </c>
      <c r="F19" s="126">
        <f>IFERROR(VLOOKUP($A19+$B19,Quotes!$A:$AAO,F$3+3,FALSE),0)</f>
        <v>1.264E-2</v>
      </c>
      <c r="H19" s="79" t="str">
        <f t="shared" si="2"/>
        <v>04/15/2028  3.625%   1.233%   1.264%   0.031%  XXXXXX</v>
      </c>
    </row>
    <row r="20" spans="1:8" x14ac:dyDescent="0.35">
      <c r="A20" s="125">
        <f>Weights!A30</f>
        <v>46949</v>
      </c>
      <c r="B20" s="126">
        <f>Weights!B30</f>
        <v>7.4999999999999997E-3</v>
      </c>
      <c r="C20" s="126">
        <f t="shared" si="0"/>
        <v>2.5999999999999981E-4</v>
      </c>
      <c r="D20" s="131">
        <f t="shared" si="1"/>
        <v>5</v>
      </c>
      <c r="E20" s="126">
        <f>IFERROR(VLOOKUP($A20+$B20,Quotes!$A:$AAO,E$3+3,FALSE),0)</f>
        <v>1.061E-2</v>
      </c>
      <c r="F20" s="126">
        <f>IFERROR(VLOOKUP($A20+$B20,Quotes!$A:$AAO,F$3+3,FALSE),0)</f>
        <v>1.0869999999999999E-2</v>
      </c>
      <c r="H20" s="79" t="str">
        <f t="shared" si="2"/>
        <v>07/15/2028  0.750%   1.061%   1.087%   0.026%  XXXXX</v>
      </c>
    </row>
    <row r="21" spans="1:8" x14ac:dyDescent="0.35">
      <c r="A21" s="125">
        <f>Weights!A31</f>
        <v>47041</v>
      </c>
      <c r="B21" s="126">
        <f>Weights!B31</f>
        <v>2.375E-2</v>
      </c>
      <c r="C21" s="126">
        <f t="shared" si="0"/>
        <v>2.8000000000000073E-4</v>
      </c>
      <c r="D21" s="131">
        <f t="shared" si="1"/>
        <v>6</v>
      </c>
      <c r="E21" s="126">
        <f>IFERROR(VLOOKUP($A21+$B21,Quotes!$A:$AAO,E$3+3,FALSE),0)</f>
        <v>1.1129999999999999E-2</v>
      </c>
      <c r="F21" s="126">
        <f>IFERROR(VLOOKUP($A21+$B21,Quotes!$A:$AAO,F$3+3,FALSE),0)</f>
        <v>1.141E-2</v>
      </c>
      <c r="H21" s="79" t="str">
        <f t="shared" si="2"/>
        <v>10/15/2028  2.375%   1.113%   1.141%   0.028%  XXXXXX</v>
      </c>
    </row>
    <row r="22" spans="1:8" x14ac:dyDescent="0.35">
      <c r="A22" s="125">
        <f>Weights!A32</f>
        <v>47133</v>
      </c>
      <c r="B22" s="126">
        <f>Weights!B32</f>
        <v>8.7500000000000008E-3</v>
      </c>
      <c r="C22" s="126">
        <f t="shared" si="0"/>
        <v>1.6000000000000042E-4</v>
      </c>
      <c r="D22" s="131">
        <f t="shared" si="1"/>
        <v>3</v>
      </c>
      <c r="E22" s="126">
        <f>IFERROR(VLOOKUP($A22+$B22,Quotes!$A:$AAO,E$3+3,FALSE),0)</f>
        <v>1.226E-2</v>
      </c>
      <c r="F22" s="126">
        <f>IFERROR(VLOOKUP($A22+$B22,Quotes!$A:$AAO,F$3+3,FALSE),0)</f>
        <v>1.242E-2</v>
      </c>
      <c r="H22" s="79" t="str">
        <f t="shared" si="2"/>
        <v>01/15/2029  0.875%   1.226%   1.242%   0.016%  XXX</v>
      </c>
    </row>
    <row r="23" spans="1:8" x14ac:dyDescent="0.35">
      <c r="A23" s="125">
        <f>Weights!A33</f>
        <v>47133</v>
      </c>
      <c r="B23" s="126">
        <f>Weights!B33</f>
        <v>2.5000000000000001E-2</v>
      </c>
      <c r="C23" s="126">
        <f t="shared" si="0"/>
        <v>2.1000000000000185E-4</v>
      </c>
      <c r="D23" s="131">
        <f t="shared" si="1"/>
        <v>4</v>
      </c>
      <c r="E23" s="126">
        <f>IFERROR(VLOOKUP($A23+$B23,Quotes!$A:$AAO,E$3+3,FALSE),0)</f>
        <v>1.218E-2</v>
      </c>
      <c r="F23" s="126">
        <f>IFERROR(VLOOKUP($A23+$B23,Quotes!$A:$AAO,F$3+3,FALSE),0)</f>
        <v>1.2390000000000002E-2</v>
      </c>
      <c r="H23" s="79" t="str">
        <f t="shared" si="2"/>
        <v>01/15/2029  2.500%   1.218%   1.239%   0.021%  XXXX</v>
      </c>
    </row>
    <row r="24" spans="1:8" x14ac:dyDescent="0.35">
      <c r="A24" s="125">
        <f>Weights!A34</f>
        <v>47223</v>
      </c>
      <c r="B24" s="126">
        <f>Weights!B34</f>
        <v>2.1250000000000002E-2</v>
      </c>
      <c r="C24" s="126">
        <f t="shared" si="0"/>
        <v>1.899999999999992E-4</v>
      </c>
      <c r="D24" s="131">
        <f t="shared" si="1"/>
        <v>4</v>
      </c>
      <c r="E24" s="126">
        <f>IFERROR(VLOOKUP($A24+$B24,Quotes!$A:$AAO,E$3+3,FALSE),0)</f>
        <v>1.2960000000000001E-2</v>
      </c>
      <c r="F24" s="126">
        <f>IFERROR(VLOOKUP($A24+$B24,Quotes!$A:$AAO,F$3+3,FALSE),0)</f>
        <v>1.315E-2</v>
      </c>
      <c r="H24" s="79" t="str">
        <f t="shared" si="2"/>
        <v>04/15/2029  2.125%   1.296%   1.315%   0.019%  XXXX</v>
      </c>
    </row>
    <row r="25" spans="1:8" x14ac:dyDescent="0.35">
      <c r="A25" s="125">
        <f>Weights!A35</f>
        <v>47223</v>
      </c>
      <c r="B25" s="126">
        <f>Weights!B35</f>
        <v>3.875E-2</v>
      </c>
      <c r="C25" s="126">
        <f t="shared" si="0"/>
        <v>2.0000000000000052E-4</v>
      </c>
      <c r="D25" s="131">
        <f t="shared" si="1"/>
        <v>4</v>
      </c>
      <c r="E25" s="126">
        <f>IFERROR(VLOOKUP($A25+$B25,Quotes!$A:$AAO,E$3+3,FALSE),0)</f>
        <v>1.286E-2</v>
      </c>
      <c r="F25" s="126">
        <f>IFERROR(VLOOKUP($A25+$B25,Quotes!$A:$AAO,F$3+3,FALSE),0)</f>
        <v>1.306E-2</v>
      </c>
      <c r="H25" s="79" t="str">
        <f t="shared" si="2"/>
        <v>04/15/2029  3.875%   1.286%   1.306%   0.020%  XXXX</v>
      </c>
    </row>
    <row r="26" spans="1:8" x14ac:dyDescent="0.35">
      <c r="A26" s="125">
        <f>Weights!A36</f>
        <v>47314</v>
      </c>
      <c r="B26" s="126">
        <f>Weights!B36</f>
        <v>2.5000000000000001E-3</v>
      </c>
      <c r="C26" s="126">
        <f t="shared" si="0"/>
        <v>1.799999999999996E-4</v>
      </c>
      <c r="D26" s="131">
        <f t="shared" si="1"/>
        <v>4</v>
      </c>
      <c r="E26" s="126">
        <f>IFERROR(VLOOKUP($A26+$B26,Quotes!$A:$AAO,E$3+3,FALSE),0)</f>
        <v>1.1479999999999999E-2</v>
      </c>
      <c r="F26" s="126">
        <f>IFERROR(VLOOKUP($A26+$B26,Quotes!$A:$AAO,F$3+3,FALSE),0)</f>
        <v>1.1659999999999998E-2</v>
      </c>
      <c r="H26" s="79" t="str">
        <f t="shared" si="2"/>
        <v>07/15/2029  0.250%   1.148%   1.166%   0.018%  XXXX</v>
      </c>
    </row>
    <row r="27" spans="1:8" x14ac:dyDescent="0.35">
      <c r="A27" s="125">
        <f>Weights!A37</f>
        <v>47406</v>
      </c>
      <c r="B27" s="126">
        <f>Weights!B37</f>
        <v>1.6250000000000001E-2</v>
      </c>
      <c r="C27" s="126">
        <f t="shared" si="0"/>
        <v>1.2000000000000031E-4</v>
      </c>
      <c r="D27" s="131">
        <f t="shared" si="1"/>
        <v>2</v>
      </c>
      <c r="E27" s="126">
        <f>IFERROR(VLOOKUP($A27+$B27,Quotes!$A:$AAO,E$3+3,FALSE),0)</f>
        <v>1.2019999999999999E-2</v>
      </c>
      <c r="F27" s="126">
        <f>IFERROR(VLOOKUP($A27+$B27,Quotes!$A:$AAO,F$3+3,FALSE),0)</f>
        <v>1.214E-2</v>
      </c>
      <c r="H27" s="79" t="str">
        <f t="shared" si="2"/>
        <v>10/15/2029  1.625%   1.202%   1.214%   0.012%  XX</v>
      </c>
    </row>
    <row r="28" spans="1:8" x14ac:dyDescent="0.35">
      <c r="A28" s="125">
        <f>Weights!A38</f>
        <v>47498</v>
      </c>
      <c r="B28" s="126">
        <f>Weights!B38</f>
        <v>1.25E-3</v>
      </c>
      <c r="C28" s="126">
        <f t="shared" si="0"/>
        <v>8.000000000000021E-5</v>
      </c>
      <c r="D28" s="131">
        <f t="shared" si="1"/>
        <v>2</v>
      </c>
      <c r="E28" s="126">
        <f>IFERROR(VLOOKUP($A28+$B28,Quotes!$A:$AAO,E$3+3,FALSE),0)</f>
        <v>1.2889999999999999E-2</v>
      </c>
      <c r="F28" s="126">
        <f>IFERROR(VLOOKUP($A28+$B28,Quotes!$A:$AAO,F$3+3,FALSE),0)</f>
        <v>1.2969999999999999E-2</v>
      </c>
      <c r="H28" s="79" t="str">
        <f t="shared" si="2"/>
        <v>01/15/2030  0.125%   1.289%   1.297%   0.008%  XX</v>
      </c>
    </row>
    <row r="29" spans="1:8" x14ac:dyDescent="0.35">
      <c r="A29" s="125">
        <f>Weights!A39</f>
        <v>47588</v>
      </c>
      <c r="B29" s="126">
        <f>Weights!B39</f>
        <v>1.6250000000000001E-2</v>
      </c>
      <c r="C29" s="126">
        <f t="shared" si="0"/>
        <v>9.9999999999999395E-5</v>
      </c>
      <c r="D29" s="131">
        <f t="shared" si="1"/>
        <v>2</v>
      </c>
      <c r="E29" s="126">
        <f>IFERROR(VLOOKUP($A29+$B29,Quotes!$A:$AAO,E$3+3,FALSE),0)</f>
        <v>1.3460000000000001E-2</v>
      </c>
      <c r="F29" s="126">
        <f>IFERROR(VLOOKUP($A29+$B29,Quotes!$A:$AAO,F$3+3,FALSE),0)</f>
        <v>1.3560000000000001E-2</v>
      </c>
      <c r="H29" s="79" t="str">
        <f t="shared" si="2"/>
        <v>04/15/2030  1.625%   1.346%   1.356%   0.010%  XX</v>
      </c>
    </row>
    <row r="30" spans="1:8" x14ac:dyDescent="0.35">
      <c r="A30" s="125">
        <f>Weights!A40</f>
        <v>47679</v>
      </c>
      <c r="B30" s="126">
        <f>Weights!B40</f>
        <v>1.25E-3</v>
      </c>
      <c r="C30" s="126">
        <f t="shared" si="0"/>
        <v>4.9999999999997963E-5</v>
      </c>
      <c r="D30" s="131">
        <f t="shared" si="1"/>
        <v>1</v>
      </c>
      <c r="E30" s="126">
        <f>IFERROR(VLOOKUP($A30+$B30,Quotes!$A:$AAO,E$3+3,FALSE),0)</f>
        <v>1.2500000000000001E-2</v>
      </c>
      <c r="F30" s="126">
        <f>IFERROR(VLOOKUP($A30+$B30,Quotes!$A:$AAO,F$3+3,FALSE),0)</f>
        <v>1.2549999999999999E-2</v>
      </c>
      <c r="H30" s="79" t="str">
        <f t="shared" si="2"/>
        <v>07/15/2030  0.125%   1.250%   1.255%   0.005%  X</v>
      </c>
    </row>
    <row r="31" spans="1:8" x14ac:dyDescent="0.35">
      <c r="A31" s="125">
        <f>Weights!A42</f>
        <v>47863</v>
      </c>
      <c r="B31" s="126">
        <f>Weights!B42</f>
        <v>1.25E-3</v>
      </c>
      <c r="C31" s="126">
        <f t="shared" si="0"/>
        <v>4.0000000000000105E-5</v>
      </c>
      <c r="D31" s="131">
        <f t="shared" si="1"/>
        <v>1</v>
      </c>
      <c r="E31" s="126">
        <f>IFERROR(VLOOKUP($A31+$B31,Quotes!$A:$AAO,E$3+3,FALSE),0)</f>
        <v>1.376E-2</v>
      </c>
      <c r="F31" s="126">
        <f>IFERROR(VLOOKUP($A31+$B31,Quotes!$A:$AAO,F$3+3,FALSE),0)</f>
        <v>1.38E-2</v>
      </c>
      <c r="H31" s="79" t="str">
        <f t="shared" si="2"/>
        <v>01/15/2031  0.125%   1.376%   1.380%   0.004%  X</v>
      </c>
    </row>
    <row r="32" spans="1:8" x14ac:dyDescent="0.35">
      <c r="A32" s="125">
        <f>Weights!A43</f>
        <v>48044</v>
      </c>
      <c r="B32" s="126">
        <f>Weights!B43</f>
        <v>1.25E-3</v>
      </c>
      <c r="C32" s="126">
        <f t="shared" si="0"/>
        <v>9.999999999999766E-5</v>
      </c>
      <c r="D32" s="131">
        <f t="shared" si="1"/>
        <v>2</v>
      </c>
      <c r="E32" s="126">
        <f>IFERROR(VLOOKUP($A32+$B32,Quotes!$A:$AAO,E$3+3,FALSE),0)</f>
        <v>1.3680000000000001E-2</v>
      </c>
      <c r="F32" s="126">
        <f>IFERROR(VLOOKUP($A32+$B32,Quotes!$A:$AAO,F$3+3,FALSE),0)</f>
        <v>1.3779999999999999E-2</v>
      </c>
      <c r="H32" s="79" t="str">
        <f t="shared" si="2"/>
        <v>07/15/2031  0.125%   1.368%   1.378%   0.010%  XX</v>
      </c>
    </row>
    <row r="33" spans="1:8" x14ac:dyDescent="0.35">
      <c r="A33" s="125">
        <f>Weights!A44</f>
        <v>48228</v>
      </c>
      <c r="B33" s="126">
        <f>Weights!B44</f>
        <v>1.25E-3</v>
      </c>
      <c r="C33" s="126">
        <f t="shared" si="0"/>
        <v>8.9999999999998068E-5</v>
      </c>
      <c r="D33" s="131">
        <f t="shared" si="1"/>
        <v>2</v>
      </c>
      <c r="E33" s="126">
        <f>IFERROR(VLOOKUP($A33+$B33,Quotes!$A:$AAO,E$3+3,FALSE),0)</f>
        <v>1.4950000000000001E-2</v>
      </c>
      <c r="F33" s="126">
        <f>IFERROR(VLOOKUP($A33+$B33,Quotes!$A:$AAO,F$3+3,FALSE),0)</f>
        <v>1.504E-2</v>
      </c>
      <c r="H33" s="79" t="str">
        <f t="shared" si="2"/>
        <v>01/15/2032  0.125%   1.495%   1.504%   0.009%  XX</v>
      </c>
    </row>
    <row r="34" spans="1:8" x14ac:dyDescent="0.35">
      <c r="A34" s="125">
        <f>Weights!A45</f>
        <v>48319</v>
      </c>
      <c r="B34" s="126">
        <f>Weights!B45</f>
        <v>3.3750000000000002E-2</v>
      </c>
      <c r="C34" s="126">
        <f t="shared" si="0"/>
        <v>1.0999999999999899E-4</v>
      </c>
      <c r="D34" s="131">
        <f t="shared" si="1"/>
        <v>2</v>
      </c>
      <c r="E34" s="126">
        <f>IFERROR(VLOOKUP($A34+$B34,Quotes!$A:$AAO,E$3+3,FALSE),0)</f>
        <v>1.498E-2</v>
      </c>
      <c r="F34" s="126">
        <f>IFERROR(VLOOKUP($A34+$B34,Quotes!$A:$AAO,F$3+3,FALSE),0)</f>
        <v>1.5089999999999999E-2</v>
      </c>
      <c r="H34" s="79" t="str">
        <f t="shared" si="2"/>
        <v>04/15/2032  3.375%   1.498%   1.509%   0.011%  XX</v>
      </c>
    </row>
    <row r="35" spans="1:8" x14ac:dyDescent="0.35">
      <c r="A35" s="125">
        <f>Weights!A46</f>
        <v>48410</v>
      </c>
      <c r="B35" s="126">
        <f>Weights!B46</f>
        <v>6.2500000000000003E-3</v>
      </c>
      <c r="C35" s="126">
        <f t="shared" si="0"/>
        <v>1.2000000000000031E-4</v>
      </c>
      <c r="D35" s="131">
        <f t="shared" si="1"/>
        <v>2</v>
      </c>
      <c r="E35" s="126">
        <f>IFERROR(VLOOKUP($A35+$B35,Quotes!$A:$AAO,E$3+3,FALSE),0)</f>
        <v>1.49E-2</v>
      </c>
      <c r="F35" s="126">
        <f>IFERROR(VLOOKUP($A35+$B35,Quotes!$A:$AAO,F$3+3,FALSE),0)</f>
        <v>1.502E-2</v>
      </c>
      <c r="H35" s="79" t="str">
        <f t="shared" si="2"/>
        <v>07/15/2032  0.625%   1.490%   1.502%   0.012%  XX</v>
      </c>
    </row>
    <row r="36" spans="1:8" x14ac:dyDescent="0.35">
      <c r="A36" s="125">
        <f>Weights!A47</f>
        <v>48594</v>
      </c>
      <c r="B36" s="126">
        <f>Weights!B47</f>
        <v>1.125E-2</v>
      </c>
      <c r="C36" s="126">
        <f t="shared" si="0"/>
        <v>1.6000000000000042E-4</v>
      </c>
      <c r="D36" s="131">
        <f t="shared" si="1"/>
        <v>3</v>
      </c>
      <c r="E36" s="126">
        <f>IFERROR(VLOOKUP($A36+$B36,Quotes!$A:$AAO,E$3+3,FALSE),0)</f>
        <v>1.6040000000000002E-2</v>
      </c>
      <c r="F36" s="126">
        <f>IFERROR(VLOOKUP($A36+$B36,Quotes!$A:$AAO,F$3+3,FALSE),0)</f>
        <v>1.6200000000000003E-2</v>
      </c>
      <c r="H36" s="79" t="str">
        <f t="shared" si="2"/>
        <v>01/15/2033  1.125%   1.604%   1.620%   0.016%  XXX</v>
      </c>
    </row>
    <row r="37" spans="1:8" x14ac:dyDescent="0.35">
      <c r="A37" s="125">
        <f>Weights!A48</f>
        <v>48775</v>
      </c>
      <c r="B37" s="126">
        <f>Weights!B48</f>
        <v>1.375E-2</v>
      </c>
      <c r="C37" s="126">
        <f t="shared" si="0"/>
        <v>1.6000000000000042E-4</v>
      </c>
      <c r="D37" s="131">
        <f t="shared" si="1"/>
        <v>3</v>
      </c>
      <c r="E37" s="126">
        <f>IFERROR(VLOOKUP($A37+$B37,Quotes!$A:$AAO,E$3+3,FALSE),0)</f>
        <v>1.6E-2</v>
      </c>
      <c r="F37" s="126">
        <f>IFERROR(VLOOKUP($A37+$B37,Quotes!$A:$AAO,F$3+3,FALSE),0)</f>
        <v>1.6160000000000001E-2</v>
      </c>
      <c r="H37" s="79" t="str">
        <f t="shared" si="2"/>
        <v>07/15/2033  1.375%   1.600%   1.616%   0.016%  XXX</v>
      </c>
    </row>
    <row r="38" spans="1:8" x14ac:dyDescent="0.35">
      <c r="A38" s="125">
        <f>Weights!A49</f>
        <v>48959</v>
      </c>
      <c r="B38" s="126">
        <f>Weights!B49</f>
        <v>1.7500000000000002E-2</v>
      </c>
      <c r="C38" s="126">
        <f t="shared" ref="C38" si="3">IF(E38=0,0,F38-E38)</f>
        <v>1.5000000000000083E-4</v>
      </c>
      <c r="D38" s="131">
        <f t="shared" ref="D38" si="4">ROUND(B$3*C38,0)</f>
        <v>3</v>
      </c>
      <c r="E38" s="126">
        <f>IFERROR(VLOOKUP($A38+$B38,Quotes!$A:$AAO,E$3+3,FALSE),0)</f>
        <v>1.703E-2</v>
      </c>
      <c r="F38" s="126">
        <f>IFERROR(VLOOKUP($A38+$B38,Quotes!$A:$AAO,F$3+3,FALSE),0)</f>
        <v>1.7180000000000001E-2</v>
      </c>
      <c r="H38" s="79" t="str">
        <f t="shared" ref="H38:H57" si="5">TEXT(A38,"mm/dd/yyyy")&amp;"  "&amp;TEXT(B38,"0.000%")&amp;RIGHT(H$1&amp;TEXT(E38,"#0.000%"),9)&amp;RIGHT(H$1&amp;TEXT(F38,"#0.000%"),9)&amp;RIGHT(H$1&amp;TEXT(C38,"#0.000%"),9)&amp;"  "&amp;IF(D$58&lt;0,IF(D38&lt;0,IF(D38&gt;D$58,REPT(" ",D38-D$58),"")&amp;REPT("X",-D38),REPT(" ",-D$58))&amp;"|"&amp;IF(D38&gt;0,REPT("X",D38),""),REPT("X",D38))</f>
        <v>01/15/2034  1.750%   1.703%   1.718%   0.015%  XXX</v>
      </c>
    </row>
    <row r="39" spans="1:8" x14ac:dyDescent="0.35">
      <c r="A39" s="125">
        <f>Weights!A50</f>
        <v>49140</v>
      </c>
      <c r="B39" s="126">
        <f>Weights!B50</f>
        <v>1.8749999999999999E-2</v>
      </c>
      <c r="C39" s="126">
        <f t="shared" si="0"/>
        <v>1.6000000000000042E-4</v>
      </c>
      <c r="D39" s="131">
        <f t="shared" si="1"/>
        <v>3</v>
      </c>
      <c r="E39" s="126">
        <f>IFERROR(VLOOKUP($A39+$B39,Quotes!$A:$AAO,E$3+3,FALSE),0)</f>
        <v>1.704E-2</v>
      </c>
      <c r="F39" s="126">
        <f>IFERROR(VLOOKUP($A39+$B39,Quotes!$A:$AAO,F$3+3,FALSE),0)</f>
        <v>1.72E-2</v>
      </c>
      <c r="H39" s="79" t="str">
        <f t="shared" si="5"/>
        <v>07/15/2034  1.875%   1.704%   1.720%   0.016%  XXX</v>
      </c>
    </row>
    <row r="40" spans="1:8" x14ac:dyDescent="0.35">
      <c r="A40" s="125">
        <f>Weights!A51</f>
        <v>49324</v>
      </c>
      <c r="B40" s="126">
        <f>Weights!B51</f>
        <v>2.1250000000000002E-2</v>
      </c>
      <c r="C40" s="126">
        <f t="shared" si="0"/>
        <v>2.0999999999999838E-4</v>
      </c>
      <c r="D40" s="131">
        <f t="shared" si="1"/>
        <v>4</v>
      </c>
      <c r="E40" s="126">
        <f>IFERROR(VLOOKUP($A40+$B40,Quotes!$A:$AAO,E$3+3,FALSE),0)</f>
        <v>1.788E-2</v>
      </c>
      <c r="F40" s="126">
        <f>IFERROR(VLOOKUP($A40+$B40,Quotes!$A:$AAO,F$3+3,FALSE),0)</f>
        <v>1.8089999999999998E-2</v>
      </c>
      <c r="H40" s="79" t="str">
        <f t="shared" si="5"/>
        <v>01/15/2035  2.125%   1.788%   1.809%   0.021%  XXXX</v>
      </c>
    </row>
    <row r="41" spans="1:8" x14ac:dyDescent="0.35">
      <c r="A41" s="125">
        <f>Weights!A52</f>
        <v>49505</v>
      </c>
      <c r="B41" s="126">
        <f>Weights!B52</f>
        <v>1.8749999999999999E-2</v>
      </c>
      <c r="C41" s="126">
        <f t="shared" si="0"/>
        <v>1.9999999999999879E-4</v>
      </c>
      <c r="D41" s="131">
        <f t="shared" si="1"/>
        <v>4</v>
      </c>
      <c r="E41" s="126">
        <f>IFERROR(VLOOKUP($A41+$B41,Quotes!$A:$AAO,E$3+3,FALSE),0)</f>
        <v>1.787E-2</v>
      </c>
      <c r="F41" s="126">
        <f>IFERROR(VLOOKUP($A41+$B41,Quotes!$A:$AAO,F$3+3,FALSE),0)</f>
        <v>1.8069999999999999E-2</v>
      </c>
      <c r="H41" s="79" t="str">
        <f t="shared" si="5"/>
        <v>07/15/2035  1.875%   1.787%   1.807%   0.020%  XXXX</v>
      </c>
    </row>
    <row r="42" spans="1:8" x14ac:dyDescent="0.35">
      <c r="A42" s="125">
        <f>Weights!A53</f>
        <v>51181</v>
      </c>
      <c r="B42" s="126">
        <f>Weights!B53</f>
        <v>2.1250000000000002E-2</v>
      </c>
      <c r="C42" s="126">
        <f t="shared" si="0"/>
        <v>3.4000000000000349E-4</v>
      </c>
      <c r="D42" s="131">
        <f t="shared" si="1"/>
        <v>7</v>
      </c>
      <c r="E42" s="126">
        <f>IFERROR(VLOOKUP($A42+$B42,Quotes!$A:$AAO,E$3+3,FALSE),0)</f>
        <v>2.0409999999999998E-2</v>
      </c>
      <c r="F42" s="126">
        <f>IFERROR(VLOOKUP($A42+$B42,Quotes!$A:$AAO,F$3+3,FALSE),0)</f>
        <v>2.0750000000000001E-2</v>
      </c>
      <c r="H42" s="79" t="str">
        <f t="shared" si="5"/>
        <v>02/15/2040  2.125%   2.041%   2.075%   0.034%  XXXXXXX</v>
      </c>
    </row>
    <row r="43" spans="1:8" x14ac:dyDescent="0.35">
      <c r="A43" s="125">
        <f>Weights!A54</f>
        <v>51547</v>
      </c>
      <c r="B43" s="126">
        <f>Weights!B54</f>
        <v>2.1250000000000002E-2</v>
      </c>
      <c r="C43" s="126">
        <f t="shared" si="0"/>
        <v>3.9000000000000146E-4</v>
      </c>
      <c r="D43" s="131">
        <f t="shared" si="1"/>
        <v>8</v>
      </c>
      <c r="E43" s="126">
        <f>IFERROR(VLOOKUP($A43+$B43,Quotes!$A:$AAO,E$3+3,FALSE),0)</f>
        <v>2.1090000000000001E-2</v>
      </c>
      <c r="F43" s="126">
        <f>IFERROR(VLOOKUP($A43+$B43,Quotes!$A:$AAO,F$3+3,FALSE),0)</f>
        <v>2.1480000000000003E-2</v>
      </c>
      <c r="H43" s="79" t="str">
        <f t="shared" si="5"/>
        <v>02/15/2041  2.125%   2.109%   2.148%   0.039%  XXXXXXXX</v>
      </c>
    </row>
    <row r="44" spans="1:8" x14ac:dyDescent="0.35">
      <c r="A44" s="125">
        <f>Weights!A55</f>
        <v>51912</v>
      </c>
      <c r="B44" s="126">
        <f>Weights!B55</f>
        <v>7.4999999999999997E-3</v>
      </c>
      <c r="C44" s="126">
        <f t="shared" si="0"/>
        <v>3.4999999999999615E-4</v>
      </c>
      <c r="D44" s="131">
        <f t="shared" si="1"/>
        <v>7</v>
      </c>
      <c r="E44" s="126">
        <f>IFERROR(VLOOKUP($A44+$B44,Quotes!$A:$AAO,E$3+3,FALSE),0)</f>
        <v>2.2360000000000001E-2</v>
      </c>
      <c r="F44" s="126">
        <f>IFERROR(VLOOKUP($A44+$B44,Quotes!$A:$AAO,F$3+3,FALSE),0)</f>
        <v>2.2709999999999998E-2</v>
      </c>
      <c r="H44" s="79" t="str">
        <f t="shared" si="5"/>
        <v>02/15/2042  0.750%   2.236%   2.271%   0.035%  XXXXXXX</v>
      </c>
    </row>
    <row r="45" spans="1:8" x14ac:dyDescent="0.35">
      <c r="A45" s="125">
        <f>Weights!A56</f>
        <v>52277</v>
      </c>
      <c r="B45" s="126">
        <f>Weights!B56</f>
        <v>6.2500000000000003E-3</v>
      </c>
      <c r="C45" s="126">
        <f t="shared" si="0"/>
        <v>4.8000000000000126E-4</v>
      </c>
      <c r="D45" s="131">
        <f t="shared" si="1"/>
        <v>10</v>
      </c>
      <c r="E45" s="126">
        <f>IFERROR(VLOOKUP($A45+$B45,Quotes!$A:$AAO,E$3+3,FALSE),0)</f>
        <v>2.266E-2</v>
      </c>
      <c r="F45" s="126">
        <f>IFERROR(VLOOKUP($A45+$B45,Quotes!$A:$AAO,F$3+3,FALSE),0)</f>
        <v>2.3140000000000001E-2</v>
      </c>
      <c r="H45" s="79" t="str">
        <f t="shared" si="5"/>
        <v>02/15/2043  0.625%   2.266%   2.314%   0.048%  XXXXXXXXXX</v>
      </c>
    </row>
    <row r="46" spans="1:8" x14ac:dyDescent="0.35">
      <c r="A46" s="125">
        <f>Weights!A57</f>
        <v>52642</v>
      </c>
      <c r="B46" s="126">
        <f>Weights!B57</f>
        <v>1.375E-2</v>
      </c>
      <c r="C46" s="126">
        <f t="shared" si="0"/>
        <v>4.2000000000000023E-4</v>
      </c>
      <c r="D46" s="131">
        <f t="shared" si="1"/>
        <v>8</v>
      </c>
      <c r="E46" s="126">
        <f>IFERROR(VLOOKUP($A46+$B46,Quotes!$A:$AAO,E$3+3,FALSE),0)</f>
        <v>2.3019999999999999E-2</v>
      </c>
      <c r="F46" s="126">
        <f>IFERROR(VLOOKUP($A46+$B46,Quotes!$A:$AAO,F$3+3,FALSE),0)</f>
        <v>2.3439999999999999E-2</v>
      </c>
      <c r="H46" s="79" t="str">
        <f t="shared" si="5"/>
        <v>02/15/2044  1.375%   2.302%   2.344%   0.042%  XXXXXXXX</v>
      </c>
    </row>
    <row r="47" spans="1:8" x14ac:dyDescent="0.35">
      <c r="A47" s="125">
        <f>Weights!A58</f>
        <v>53008</v>
      </c>
      <c r="B47" s="126">
        <f>Weights!B58</f>
        <v>7.4999999999999997E-3</v>
      </c>
      <c r="C47" s="126">
        <f t="shared" si="0"/>
        <v>4.4999999999999901E-4</v>
      </c>
      <c r="D47" s="131">
        <f t="shared" si="1"/>
        <v>9</v>
      </c>
      <c r="E47" s="126">
        <f>IFERROR(VLOOKUP($A47+$B47,Quotes!$A:$AAO,E$3+3,FALSE),0)</f>
        <v>2.3429999999999999E-2</v>
      </c>
      <c r="F47" s="126">
        <f>IFERROR(VLOOKUP($A47+$B47,Quotes!$A:$AAO,F$3+3,FALSE),0)</f>
        <v>2.3879999999999998E-2</v>
      </c>
      <c r="H47" s="79" t="str">
        <f t="shared" si="5"/>
        <v>02/15/2045  0.750%   2.343%   2.388%   0.045%  XXXXXXXXX</v>
      </c>
    </row>
    <row r="48" spans="1:8" x14ac:dyDescent="0.35">
      <c r="A48" s="125">
        <f>Weights!A59</f>
        <v>53373</v>
      </c>
      <c r="B48" s="126">
        <f>Weights!B59</f>
        <v>0.01</v>
      </c>
      <c r="C48" s="126">
        <f t="shared" si="0"/>
        <v>4.2999999999999983E-4</v>
      </c>
      <c r="D48" s="131">
        <f t="shared" si="1"/>
        <v>9</v>
      </c>
      <c r="E48" s="126">
        <f>IFERROR(VLOOKUP($A48+$B48,Quotes!$A:$AAO,E$3+3,FALSE),0)</f>
        <v>2.3769999999999999E-2</v>
      </c>
      <c r="F48" s="126">
        <f>IFERROR(VLOOKUP($A48+$B48,Quotes!$A:$AAO,F$3+3,FALSE),0)</f>
        <v>2.4199999999999999E-2</v>
      </c>
      <c r="H48" s="79" t="str">
        <f t="shared" si="5"/>
        <v>02/15/2046  1.000%   2.377%   2.420%   0.043%  XXXXXXXXX</v>
      </c>
    </row>
    <row r="49" spans="1:8" x14ac:dyDescent="0.35">
      <c r="A49" s="125">
        <f>Weights!A60</f>
        <v>53738</v>
      </c>
      <c r="B49" s="126">
        <f>Weights!B60</f>
        <v>8.7500000000000008E-3</v>
      </c>
      <c r="C49" s="126">
        <f t="shared" si="0"/>
        <v>4.599999999999986E-4</v>
      </c>
      <c r="D49" s="131">
        <f t="shared" si="1"/>
        <v>9</v>
      </c>
      <c r="E49" s="126">
        <f>IFERROR(VLOOKUP($A49+$B49,Quotes!$A:$AAO,E$3+3,FALSE),0)</f>
        <v>2.3990000000000001E-2</v>
      </c>
      <c r="F49" s="126">
        <f>IFERROR(VLOOKUP($A49+$B49,Quotes!$A:$AAO,F$3+3,FALSE),0)</f>
        <v>2.445E-2</v>
      </c>
      <c r="H49" s="79" t="str">
        <f t="shared" si="5"/>
        <v>02/15/2047  0.875%   2.399%   2.445%   0.046%  XXXXXXXXX</v>
      </c>
    </row>
    <row r="50" spans="1:8" x14ac:dyDescent="0.35">
      <c r="A50" s="125">
        <f>Weights!A61</f>
        <v>54103</v>
      </c>
      <c r="B50" s="126">
        <f>Weights!B61</f>
        <v>0.01</v>
      </c>
      <c r="C50" s="126">
        <f t="shared" si="0"/>
        <v>4.4999999999999901E-4</v>
      </c>
      <c r="D50" s="131">
        <f t="shared" si="1"/>
        <v>9</v>
      </c>
      <c r="E50" s="126">
        <f>IFERROR(VLOOKUP($A50+$B50,Quotes!$A:$AAO,E$3+3,FALSE),0)</f>
        <v>2.4119999999999999E-2</v>
      </c>
      <c r="F50" s="126">
        <f>IFERROR(VLOOKUP($A50+$B50,Quotes!$A:$AAO,F$3+3,FALSE),0)</f>
        <v>2.4569999999999998E-2</v>
      </c>
      <c r="H50" s="79" t="str">
        <f t="shared" si="5"/>
        <v>02/15/2048  1.000%   2.412%   2.457%   0.045%  XXXXXXXXX</v>
      </c>
    </row>
    <row r="51" spans="1:8" x14ac:dyDescent="0.35">
      <c r="A51" s="125">
        <f>Weights!A62</f>
        <v>54469</v>
      </c>
      <c r="B51" s="126">
        <f>Weights!B62</f>
        <v>0.01</v>
      </c>
      <c r="C51" s="126">
        <f t="shared" si="0"/>
        <v>4.4000000000000289E-4</v>
      </c>
      <c r="D51" s="131">
        <f t="shared" si="1"/>
        <v>9</v>
      </c>
      <c r="E51" s="126">
        <f>IFERROR(VLOOKUP($A51+$B51,Quotes!$A:$AAO,E$3+3,FALSE),0)</f>
        <v>2.4319999999999998E-2</v>
      </c>
      <c r="F51" s="126">
        <f>IFERROR(VLOOKUP($A51+$B51,Quotes!$A:$AAO,F$3+3,FALSE),0)</f>
        <v>2.4760000000000001E-2</v>
      </c>
      <c r="H51" s="79" t="str">
        <f t="shared" si="5"/>
        <v>02/15/2049  1.000%   2.432%   2.476%   0.044%  XXXXXXXXX</v>
      </c>
    </row>
    <row r="52" spans="1:8" x14ac:dyDescent="0.35">
      <c r="A52" s="125">
        <f>Weights!A63</f>
        <v>54834</v>
      </c>
      <c r="B52" s="126">
        <f>Weights!B63</f>
        <v>2.5000000000000001E-3</v>
      </c>
      <c r="C52" s="126">
        <f t="shared" si="0"/>
        <v>4.3999999999999942E-4</v>
      </c>
      <c r="D52" s="131">
        <f t="shared" si="1"/>
        <v>9</v>
      </c>
      <c r="E52" s="126">
        <f>IFERROR(VLOOKUP($A52+$B52,Quotes!$A:$AAO,E$3+3,FALSE),0)</f>
        <v>2.444E-2</v>
      </c>
      <c r="F52" s="126">
        <f>IFERROR(VLOOKUP($A52+$B52,Quotes!$A:$AAO,F$3+3,FALSE),0)</f>
        <v>2.4879999999999999E-2</v>
      </c>
      <c r="H52" s="79" t="str">
        <f t="shared" si="5"/>
        <v>02/15/2050  0.250%   2.444%   2.488%   0.044%  XXXXXXXXX</v>
      </c>
    </row>
    <row r="53" spans="1:8" x14ac:dyDescent="0.35">
      <c r="A53" s="125">
        <f>Weights!A64</f>
        <v>55199</v>
      </c>
      <c r="B53" s="126">
        <f>Weights!B64</f>
        <v>1.25E-3</v>
      </c>
      <c r="C53" s="126">
        <f t="shared" si="0"/>
        <v>4.3999999999999942E-4</v>
      </c>
      <c r="D53" s="131">
        <f t="shared" si="1"/>
        <v>9</v>
      </c>
      <c r="E53" s="126">
        <f>IFERROR(VLOOKUP($A53+$B53,Quotes!$A:$AAO,E$3+3,FALSE),0)</f>
        <v>2.4510000000000001E-2</v>
      </c>
      <c r="F53" s="126">
        <f>IFERROR(VLOOKUP($A53+$B53,Quotes!$A:$AAO,F$3+3,FALSE),0)</f>
        <v>2.495E-2</v>
      </c>
      <c r="H53" s="79" t="str">
        <f t="shared" si="5"/>
        <v>02/15/2051  0.125%   2.451%   2.495%   0.044%  XXXXXXXXX</v>
      </c>
    </row>
    <row r="54" spans="1:8" x14ac:dyDescent="0.35">
      <c r="A54" s="125">
        <f>Weights!A65</f>
        <v>55564</v>
      </c>
      <c r="B54" s="126">
        <f>Weights!B65</f>
        <v>1.25E-3</v>
      </c>
      <c r="C54" s="126">
        <f t="shared" ref="C54" si="6">IF(E54=0,0,F54-E54)</f>
        <v>4.300000000000033E-4</v>
      </c>
      <c r="D54" s="131">
        <f t="shared" ref="D54" si="7">ROUND(B$3*C54,0)</f>
        <v>9</v>
      </c>
      <c r="E54" s="126">
        <f>IFERROR(VLOOKUP($A54+$B54,Quotes!$A:$AAO,E$3+3,FALSE),0)</f>
        <v>2.4479999999999998E-2</v>
      </c>
      <c r="F54" s="126">
        <f>IFERROR(VLOOKUP($A54+$B54,Quotes!$A:$AAO,F$3+3,FALSE),0)</f>
        <v>2.4910000000000002E-2</v>
      </c>
      <c r="H54" s="79" t="str">
        <f t="shared" si="5"/>
        <v>02/15/2052  0.125%   2.448%   2.491%   0.043%  XXXXXXXXX</v>
      </c>
    </row>
    <row r="55" spans="1:8" x14ac:dyDescent="0.35">
      <c r="A55" s="125">
        <f>Weights!A66</f>
        <v>55930</v>
      </c>
      <c r="B55" s="126">
        <f>Weights!B66</f>
        <v>1.4999999999999999E-2</v>
      </c>
      <c r="C55" s="126">
        <f t="shared" ref="C55" si="8">IF(E55=0,0,F55-E55)</f>
        <v>4.200000000000037E-4</v>
      </c>
      <c r="D55" s="131">
        <f t="shared" ref="D55" si="9">ROUND(B$3*C55,0)</f>
        <v>8</v>
      </c>
      <c r="E55" s="126">
        <f>IFERROR(VLOOKUP($A55+$B55,Quotes!$A:$AAO,E$3+3,FALSE),0)</f>
        <v>2.4569999999999998E-2</v>
      </c>
      <c r="F55" s="126">
        <f>IFERROR(VLOOKUP($A55+$B55,Quotes!$A:$AAO,F$3+3,FALSE),0)</f>
        <v>2.4990000000000002E-2</v>
      </c>
      <c r="H55" s="79" t="str">
        <f t="shared" si="5"/>
        <v>02/15/2053  1.500%   2.457%   2.499%   0.042%  XXXXXXXX</v>
      </c>
    </row>
    <row r="56" spans="1:8" x14ac:dyDescent="0.35">
      <c r="A56" s="125">
        <f>Weights!A67</f>
        <v>56295</v>
      </c>
      <c r="B56" s="126">
        <f>Weights!B67</f>
        <v>2.1250000000000002E-2</v>
      </c>
      <c r="C56" s="126">
        <f t="shared" ref="C56:C57" si="10">IF(E56=0,0,F56-E56)</f>
        <v>4.2999999999999636E-4</v>
      </c>
      <c r="D56" s="131">
        <f t="shared" ref="D56:D57" si="11">ROUND(B$3*C56,0)</f>
        <v>9</v>
      </c>
      <c r="E56" s="126">
        <f>IFERROR(VLOOKUP($A56+$B56,Quotes!$A:$AAO,E$3+3,FALSE),0)</f>
        <v>2.4500000000000001E-2</v>
      </c>
      <c r="F56" s="126">
        <f>IFERROR(VLOOKUP($A56+$B56,Quotes!$A:$AAO,F$3+3,FALSE),0)</f>
        <v>2.4929999999999997E-2</v>
      </c>
      <c r="H56" s="79" t="str">
        <f t="shared" si="5"/>
        <v>02/15/2054  2.125%   2.450%   2.493%   0.043%  XXXXXXXXX</v>
      </c>
    </row>
    <row r="57" spans="1:8" x14ac:dyDescent="0.35">
      <c r="A57" s="125">
        <f>Weights!A68</f>
        <v>56660</v>
      </c>
      <c r="B57" s="126">
        <f>Weights!B68</f>
        <v>2.375E-2</v>
      </c>
      <c r="C57" s="126">
        <f t="shared" si="10"/>
        <v>4.300000000000033E-4</v>
      </c>
      <c r="D57" s="131">
        <f t="shared" si="11"/>
        <v>9</v>
      </c>
      <c r="E57" s="126">
        <f>IFERROR(VLOOKUP($A57+$B57,Quotes!$A:$AAO,E$3+3,FALSE),0)</f>
        <v>2.435E-2</v>
      </c>
      <c r="F57" s="126">
        <f>IFERROR(VLOOKUP($A57+$B57,Quotes!$A:$AAO,F$3+3,FALSE),0)</f>
        <v>2.4780000000000003E-2</v>
      </c>
      <c r="H57" s="79" t="str">
        <f t="shared" si="5"/>
        <v>02/15/2055  2.375%   2.435%   2.478%   0.043%  XXXXXXXXX</v>
      </c>
    </row>
    <row r="58" spans="1:8" x14ac:dyDescent="0.35">
      <c r="A58" t="s">
        <v>175</v>
      </c>
      <c r="D58" s="131">
        <f>MIN(D6:D55)</f>
        <v>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7A57CA-DDCC-4D85-A4EB-077C7EACE347}">
  <dimension ref="A1:F31"/>
  <sheetViews>
    <sheetView zoomScale="90" zoomScaleNormal="90" workbookViewId="0">
      <pane ySplit="4" topLeftCell="A5" activePane="bottomLeft" state="frozen"/>
      <selection activeCell="B4" sqref="B4"/>
      <selection pane="bottomLeft" activeCell="J51" sqref="J51"/>
    </sheetView>
  </sheetViews>
  <sheetFormatPr defaultRowHeight="14.5" x14ac:dyDescent="0.35"/>
  <cols>
    <col min="1" max="1" width="11.1796875" bestFit="1" customWidth="1"/>
    <col min="2" max="2" width="9.1796875" bestFit="1" customWidth="1"/>
    <col min="3" max="3" width="3.81640625" bestFit="1" customWidth="1"/>
    <col min="4" max="4" width="10.6328125" bestFit="1" customWidth="1"/>
    <col min="5" max="5" width="2.6328125" customWidth="1"/>
    <col min="6" max="6" width="8.81640625" style="79"/>
  </cols>
  <sheetData>
    <row r="1" spans="1:6" x14ac:dyDescent="0.35">
      <c r="D1" s="27" t="s">
        <v>228</v>
      </c>
      <c r="F1" s="132" t="str">
        <f>REPT(" ",40)</f>
        <v xml:space="preserve">                                        </v>
      </c>
    </row>
    <row r="2" spans="1:6" x14ac:dyDescent="0.35">
      <c r="D2" s="108">
        <v>1</v>
      </c>
      <c r="F2" s="129" t="s">
        <v>173</v>
      </c>
    </row>
    <row r="3" spans="1:6" x14ac:dyDescent="0.35">
      <c r="A3" t="s">
        <v>172</v>
      </c>
      <c r="B3" s="108">
        <v>3000</v>
      </c>
      <c r="D3" s="8">
        <f>4*(D2-1)+4</f>
        <v>4</v>
      </c>
      <c r="F3" s="130" t="s">
        <v>174</v>
      </c>
    </row>
    <row r="4" spans="1:6" x14ac:dyDescent="0.35">
      <c r="A4" t="s">
        <v>166</v>
      </c>
      <c r="B4" t="s">
        <v>99</v>
      </c>
      <c r="C4" s="27" t="s">
        <v>171</v>
      </c>
      <c r="D4" s="1" cm="1">
        <f t="array" ref="D4">INDEX(Quotes!1:1,1,D3+1)</f>
        <v>45968</v>
      </c>
      <c r="F4" s="79" t="str">
        <f>" Matures    Coupon"&amp;RIGHT(F1&amp;TEXT(D4,"m/d/yy"),9)</f>
        <v xml:space="preserve"> Matures    Coupon  11/7/25</v>
      </c>
    </row>
    <row r="5" spans="1:6" x14ac:dyDescent="0.35">
      <c r="A5" s="125">
        <v>46037</v>
      </c>
      <c r="B5" s="126">
        <v>6.2500000000000003E-3</v>
      </c>
      <c r="C5" s="131">
        <f t="shared" ref="C5:C30" si="0">ROUND(B$3*D5,0)</f>
        <v>63</v>
      </c>
      <c r="D5" s="126">
        <f>IFERROR(VLOOKUP($A5+$B5,Quotes!$A:$AAO,D$3+3,FALSE),0)</f>
        <v>2.0889999999999999E-2</v>
      </c>
      <c r="F5" s="79" t="str">
        <f>TEXT(A5,"mm/dd/yyyy")&amp;"  "&amp;TEXT(B5,"0.000%")&amp;RIGHT(F$1&amp;TEXT(D5,"#0.000%"),9)&amp;"  "&amp;IF(C$31&lt;0,IF(C5&lt;0,IF(C5&gt;C$31,REPT(" ",C5-C$31),"")&amp;REPT("X",-C5),REPT(" ",-C$31))&amp;"|"&amp;IF(C5&gt;0,REPT("X",C5),""),REPT("X",C5))</f>
        <v>01/15/2026  0.625%   2.089%  XXXXXXXXXXXXXXXXXXXXXXXXXXXXXXXXXXXXXXXXXXXXXXXXXXXXXXXXXXXXXXX</v>
      </c>
    </row>
    <row r="6" spans="1:6" x14ac:dyDescent="0.35">
      <c r="A6" s="125">
        <v>46402</v>
      </c>
      <c r="B6" s="126">
        <v>3.7499999999999999E-3</v>
      </c>
      <c r="C6" s="131">
        <f t="shared" si="0"/>
        <v>39</v>
      </c>
      <c r="D6" s="126">
        <f>IFERROR(VLOOKUP($A6+$B6,Quotes!$A:$AAO,D$3+3,FALSE),0)</f>
        <v>1.3040000000000001E-2</v>
      </c>
      <c r="F6" s="79" t="str">
        <f t="shared" ref="F6:F30" si="1">TEXT(A6,"mm/dd/yyyy")&amp;"  "&amp;TEXT(B6,"0.000%")&amp;RIGHT(F$1&amp;TEXT(D6,"#0.000%"),9)&amp;"  "&amp;IF(C$31&lt;0,IF(C6&lt;0,IF(C6&gt;C$31,REPT(" ",C6-C$31),"")&amp;REPT("X",-C6),REPT(" ",-C$31))&amp;"|"&amp;IF(C6&gt;0,REPT("X",C6),""),REPT("X",C6))</f>
        <v>01/15/2027  0.375%   1.304%  XXXXXXXXXXXXXXXXXXXXXXXXXXXXXXXXXXXXXXX</v>
      </c>
    </row>
    <row r="7" spans="1:6" x14ac:dyDescent="0.35">
      <c r="A7" s="125">
        <v>46767</v>
      </c>
      <c r="B7" s="126">
        <v>5.0000000000000001E-3</v>
      </c>
      <c r="C7" s="131">
        <f t="shared" si="0"/>
        <v>37</v>
      </c>
      <c r="D7" s="126">
        <f>IFERROR(VLOOKUP($A7+$B7,Quotes!$A:$AAO,D$3+3,FALSE),0)</f>
        <v>1.2319999999999999E-2</v>
      </c>
      <c r="F7" s="79" t="str">
        <f t="shared" si="1"/>
        <v>01/15/2028  0.500%   1.232%  XXXXXXXXXXXXXXXXXXXXXXXXXXXXXXXXXXXXX</v>
      </c>
    </row>
    <row r="8" spans="1:6" x14ac:dyDescent="0.35">
      <c r="A8" s="125">
        <v>47133</v>
      </c>
      <c r="B8" s="126">
        <v>8.7500000000000008E-3</v>
      </c>
      <c r="C8" s="131">
        <f t="shared" si="0"/>
        <v>37</v>
      </c>
      <c r="D8" s="126">
        <f>IFERROR(VLOOKUP($A8+$B8,Quotes!$A:$AAO,D$3+3,FALSE),0)</f>
        <v>1.242E-2</v>
      </c>
      <c r="F8" s="79" t="str">
        <f t="shared" si="1"/>
        <v>01/15/2029  0.875%   1.242%  XXXXXXXXXXXXXXXXXXXXXXXXXXXXXXXXXXXXX</v>
      </c>
    </row>
    <row r="9" spans="1:6" x14ac:dyDescent="0.35">
      <c r="A9" s="125">
        <v>47498</v>
      </c>
      <c r="B9" s="126">
        <v>1.25E-3</v>
      </c>
      <c r="C9" s="131">
        <f t="shared" si="0"/>
        <v>39</v>
      </c>
      <c r="D9" s="126">
        <f>IFERROR(VLOOKUP($A9+$B9,Quotes!$A:$AAO,D$3+3,FALSE),0)</f>
        <v>1.2969999999999999E-2</v>
      </c>
      <c r="F9" s="79" t="str">
        <f t="shared" si="1"/>
        <v>01/15/2030  0.125%   1.297%  XXXXXXXXXXXXXXXXXXXXXXXXXXXXXXXXXXXXXXX</v>
      </c>
    </row>
    <row r="10" spans="1:6" x14ac:dyDescent="0.35">
      <c r="A10" s="125">
        <v>47863</v>
      </c>
      <c r="B10" s="126">
        <v>1.25E-3</v>
      </c>
      <c r="C10" s="131">
        <f t="shared" si="0"/>
        <v>41</v>
      </c>
      <c r="D10" s="126">
        <f>IFERROR(VLOOKUP($A10+$B10,Quotes!$A:$AAO,D$3+3,FALSE),0)</f>
        <v>1.38E-2</v>
      </c>
      <c r="F10" s="79" t="str">
        <f t="shared" si="1"/>
        <v>01/15/2031  0.125%   1.380%  XXXXXXXXXXXXXXXXXXXXXXXXXXXXXXXXXXXXXXXXX</v>
      </c>
    </row>
    <row r="11" spans="1:6" x14ac:dyDescent="0.35">
      <c r="A11" s="125">
        <v>48228</v>
      </c>
      <c r="B11" s="126">
        <v>1.25E-3</v>
      </c>
      <c r="C11" s="131">
        <f t="shared" si="0"/>
        <v>45</v>
      </c>
      <c r="D11" s="126">
        <f>IFERROR(VLOOKUP($A11+$B11,Quotes!$A:$AAO,D$3+3,FALSE),0)</f>
        <v>1.504E-2</v>
      </c>
      <c r="F11" s="79" t="str">
        <f t="shared" si="1"/>
        <v>01/15/2032  0.125%   1.504%  XXXXXXXXXXXXXXXXXXXXXXXXXXXXXXXXXXXXXXXXXXXXX</v>
      </c>
    </row>
    <row r="12" spans="1:6" x14ac:dyDescent="0.35">
      <c r="A12" s="125">
        <v>48594</v>
      </c>
      <c r="B12" s="126">
        <v>1.125E-2</v>
      </c>
      <c r="C12" s="131">
        <f t="shared" si="0"/>
        <v>49</v>
      </c>
      <c r="D12" s="126">
        <f>IFERROR(VLOOKUP($A12+$B12,Quotes!$A:$AAO,D$3+3,FALSE),0)</f>
        <v>1.6200000000000003E-2</v>
      </c>
      <c r="F12" s="79" t="str">
        <f t="shared" si="1"/>
        <v>01/15/2033  1.125%   1.620%  XXXXXXXXXXXXXXXXXXXXXXXXXXXXXXXXXXXXXXXXXXXXXXXXX</v>
      </c>
    </row>
    <row r="13" spans="1:6" x14ac:dyDescent="0.35">
      <c r="A13" s="125">
        <v>48959</v>
      </c>
      <c r="B13" s="126">
        <v>1.7500000000000002E-2</v>
      </c>
      <c r="C13" s="131">
        <f t="shared" si="0"/>
        <v>52</v>
      </c>
      <c r="D13" s="126">
        <f>IFERROR(VLOOKUP($A13+$B13,Quotes!$A:$AAO,D$3+3,FALSE),0)</f>
        <v>1.7180000000000001E-2</v>
      </c>
      <c r="F13" s="79" t="str">
        <f t="shared" si="1"/>
        <v>01/15/2034  1.750%   1.718%  XXXXXXXXXXXXXXXXXXXXXXXXXXXXXXXXXXXXXXXXXXXXXXXXXXXX</v>
      </c>
    </row>
    <row r="14" spans="1:6" x14ac:dyDescent="0.35">
      <c r="A14" s="125">
        <v>49324</v>
      </c>
      <c r="B14" s="126">
        <v>2.1250000000000002E-2</v>
      </c>
      <c r="C14" s="131">
        <f t="shared" si="0"/>
        <v>54</v>
      </c>
      <c r="D14" s="126">
        <f>IFERROR(VLOOKUP($A14+$B14,Quotes!$A:$AAO,D$3+3,FALSE),0)</f>
        <v>1.8089999999999998E-2</v>
      </c>
      <c r="F14" s="79" t="str">
        <f t="shared" si="1"/>
        <v>01/15/2035  2.125%   1.809%  XXXXXXXXXXXXXXXXXXXXXXXXXXXXXXXXXXXXXXXXXXXXXXXXXXXXXX</v>
      </c>
    </row>
    <row r="15" spans="1:6" x14ac:dyDescent="0.35">
      <c r="A15" s="125">
        <v>51181</v>
      </c>
      <c r="B15" s="126">
        <v>2.1250000000000002E-2</v>
      </c>
      <c r="C15" s="131">
        <f t="shared" si="0"/>
        <v>62</v>
      </c>
      <c r="D15" s="126">
        <f>IFERROR(VLOOKUP($A15+$B15,Quotes!$A:$AAO,D$3+3,FALSE),0)</f>
        <v>2.0750000000000001E-2</v>
      </c>
      <c r="F15" s="79" t="str">
        <f t="shared" si="1"/>
        <v>02/15/2040  2.125%   2.075%  XXXXXXXXXXXXXXXXXXXXXXXXXXXXXXXXXXXXXXXXXXXXXXXXXXXXXXXXXXXXXX</v>
      </c>
    </row>
    <row r="16" spans="1:6" x14ac:dyDescent="0.35">
      <c r="A16" s="125">
        <v>51547</v>
      </c>
      <c r="B16" s="126">
        <v>2.1250000000000002E-2</v>
      </c>
      <c r="C16" s="131">
        <f t="shared" si="0"/>
        <v>64</v>
      </c>
      <c r="D16" s="126">
        <f>IFERROR(VLOOKUP($A16+$B16,Quotes!$A:$AAO,D$3+3,FALSE),0)</f>
        <v>2.1480000000000003E-2</v>
      </c>
      <c r="F16" s="79" t="str">
        <f t="shared" si="1"/>
        <v>02/15/2041  2.125%   2.148%  XXXXXXXXXXXXXXXXXXXXXXXXXXXXXXXXXXXXXXXXXXXXXXXXXXXXXXXXXXXXXXXX</v>
      </c>
    </row>
    <row r="17" spans="1:6" x14ac:dyDescent="0.35">
      <c r="A17" s="125">
        <v>51912</v>
      </c>
      <c r="B17" s="126">
        <v>7.4999999999999997E-3</v>
      </c>
      <c r="C17" s="131">
        <f t="shared" si="0"/>
        <v>68</v>
      </c>
      <c r="D17" s="126">
        <f>IFERROR(VLOOKUP($A17+$B17,Quotes!$A:$AAO,D$3+3,FALSE),0)</f>
        <v>2.2709999999999998E-2</v>
      </c>
      <c r="F17" s="79" t="str">
        <f t="shared" si="1"/>
        <v>02/15/2042  0.750%   2.271%  XXXXXXXXXXXXXXXXXXXXXXXXXXXXXXXXXXXXXXXXXXXXXXXXXXXXXXXXXXXXXXXXXXXX</v>
      </c>
    </row>
    <row r="18" spans="1:6" x14ac:dyDescent="0.35">
      <c r="A18" s="125">
        <v>52277</v>
      </c>
      <c r="B18" s="126">
        <v>6.2500000000000003E-3</v>
      </c>
      <c r="C18" s="131">
        <f t="shared" si="0"/>
        <v>69</v>
      </c>
      <c r="D18" s="126">
        <f>IFERROR(VLOOKUP($A18+$B18,Quotes!$A:$AAO,D$3+3,FALSE),0)</f>
        <v>2.3140000000000001E-2</v>
      </c>
      <c r="F18" s="79" t="str">
        <f t="shared" si="1"/>
        <v>02/15/2043  0.625%   2.314%  XXXXXXXXXXXXXXXXXXXXXXXXXXXXXXXXXXXXXXXXXXXXXXXXXXXXXXXXXXXXXXXXXXXXX</v>
      </c>
    </row>
    <row r="19" spans="1:6" x14ac:dyDescent="0.35">
      <c r="A19" s="125">
        <v>52642</v>
      </c>
      <c r="B19" s="126">
        <v>1.375E-2</v>
      </c>
      <c r="C19" s="131">
        <f t="shared" si="0"/>
        <v>70</v>
      </c>
      <c r="D19" s="126">
        <f>IFERROR(VLOOKUP($A19+$B19,Quotes!$A:$AAO,D$3+3,FALSE),0)</f>
        <v>2.3439999999999999E-2</v>
      </c>
      <c r="F19" s="79" t="str">
        <f t="shared" si="1"/>
        <v>02/15/2044  1.375%   2.344%  XXXXXXXXXXXXXXXXXXXXXXXXXXXXXXXXXXXXXXXXXXXXXXXXXXXXXXXXXXXXXXXXXXXXXX</v>
      </c>
    </row>
    <row r="20" spans="1:6" x14ac:dyDescent="0.35">
      <c r="A20" s="125">
        <v>53008</v>
      </c>
      <c r="B20" s="126">
        <v>7.4999999999999997E-3</v>
      </c>
      <c r="C20" s="131">
        <f t="shared" si="0"/>
        <v>72</v>
      </c>
      <c r="D20" s="126">
        <f>IFERROR(VLOOKUP($A20+$B20,Quotes!$A:$AAO,D$3+3,FALSE),0)</f>
        <v>2.3879999999999998E-2</v>
      </c>
      <c r="F20" s="79" t="str">
        <f t="shared" si="1"/>
        <v>02/15/2045  0.750%   2.388%  XXXXXXXXXXXXXXXXXXXXXXXXXXXXXXXXXXXXXXXXXXXXXXXXXXXXXXXXXXXXXXXXXXXXXXXX</v>
      </c>
    </row>
    <row r="21" spans="1:6" x14ac:dyDescent="0.35">
      <c r="A21" s="125">
        <v>53373</v>
      </c>
      <c r="B21" s="126">
        <v>0.01</v>
      </c>
      <c r="C21" s="131">
        <f t="shared" si="0"/>
        <v>73</v>
      </c>
      <c r="D21" s="126">
        <f>IFERROR(VLOOKUP($A21+$B21,Quotes!$A:$AAO,D$3+3,FALSE),0)</f>
        <v>2.4199999999999999E-2</v>
      </c>
      <c r="F21" s="79" t="str">
        <f t="shared" si="1"/>
        <v>02/15/2046  1.000%   2.420%  XXXXXXXXXXXXXXXXXXXXXXXXXXXXXXXXXXXXXXXXXXXXXXXXXXXXXXXXXXXXXXXXXXXXXXXXX</v>
      </c>
    </row>
    <row r="22" spans="1:6" x14ac:dyDescent="0.35">
      <c r="A22" s="125">
        <v>53738</v>
      </c>
      <c r="B22" s="126">
        <v>8.7500000000000008E-3</v>
      </c>
      <c r="C22" s="131">
        <f t="shared" si="0"/>
        <v>73</v>
      </c>
      <c r="D22" s="126">
        <f>IFERROR(VLOOKUP($A22+$B22,Quotes!$A:$AAO,D$3+3,FALSE),0)</f>
        <v>2.445E-2</v>
      </c>
      <c r="F22" s="79" t="str">
        <f t="shared" si="1"/>
        <v>02/15/2047  0.875%   2.445%  XXXXXXXXXXXXXXXXXXXXXXXXXXXXXXXXXXXXXXXXXXXXXXXXXXXXXXXXXXXXXXXXXXXXXXXXX</v>
      </c>
    </row>
    <row r="23" spans="1:6" x14ac:dyDescent="0.35">
      <c r="A23" s="125">
        <v>54103</v>
      </c>
      <c r="B23" s="126">
        <v>0.01</v>
      </c>
      <c r="C23" s="131">
        <f t="shared" si="0"/>
        <v>74</v>
      </c>
      <c r="D23" s="126">
        <f>IFERROR(VLOOKUP($A23+$B23,Quotes!$A:$AAO,D$3+3,FALSE),0)</f>
        <v>2.4569999999999998E-2</v>
      </c>
      <c r="F23" s="79" t="str">
        <f t="shared" si="1"/>
        <v>02/15/2048  1.000%   2.457%  XXXXXXXXXXXXXXXXXXXXXXXXXXXXXXXXXXXXXXXXXXXXXXXXXXXXXXXXXXXXXXXXXXXXXXXXXX</v>
      </c>
    </row>
    <row r="24" spans="1:6" x14ac:dyDescent="0.35">
      <c r="A24" s="125">
        <v>54469</v>
      </c>
      <c r="B24" s="126">
        <v>0.01</v>
      </c>
      <c r="C24" s="131">
        <f t="shared" si="0"/>
        <v>74</v>
      </c>
      <c r="D24" s="126">
        <f>IFERROR(VLOOKUP($A24+$B24,Quotes!$A:$AAO,D$3+3,FALSE),0)</f>
        <v>2.4760000000000001E-2</v>
      </c>
      <c r="F24" s="79" t="str">
        <f>TEXT(A24,"mm/dd/yyyy")&amp;"  "&amp;TEXT(B24,"0.000%")&amp;RIGHT(F$1&amp;TEXT(D24,"#0.000%"),9)&amp;"  "&amp;IF(C$31&lt;0,IF(C24&lt;0,IF(C24&gt;C$31,REPT(" ",C24-C$31),"")&amp;REPT("X",-C24),REPT(" ",-C$31))&amp;"|"&amp;IF(C24&gt;0,REPT("X",C24),""),REPT("X",C24))</f>
        <v>02/15/2049  1.000%   2.476%  XXXXXXXXXXXXXXXXXXXXXXXXXXXXXXXXXXXXXXXXXXXXXXXXXXXXXXXXXXXXXXXXXXXXXXXXXX</v>
      </c>
    </row>
    <row r="25" spans="1:6" x14ac:dyDescent="0.35">
      <c r="A25" s="125">
        <v>54834</v>
      </c>
      <c r="B25" s="126">
        <v>2.5000000000000001E-3</v>
      </c>
      <c r="C25" s="131">
        <f t="shared" si="0"/>
        <v>75</v>
      </c>
      <c r="D25" s="126">
        <f>IFERROR(VLOOKUP($A25+$B25,Quotes!$A:$AAO,D$3+3,FALSE),0)</f>
        <v>2.4879999999999999E-2</v>
      </c>
      <c r="F25" s="79" t="str">
        <f t="shared" si="1"/>
        <v>02/15/2050  0.250%   2.488%  XXXXXXXXXXXXXXXXXXXXXXXXXXXXXXXXXXXXXXXXXXXXXXXXXXXXXXXXXXXXXXXXXXXXXXXXXXX</v>
      </c>
    </row>
    <row r="26" spans="1:6" x14ac:dyDescent="0.35">
      <c r="A26" s="125">
        <v>55199</v>
      </c>
      <c r="B26" s="126">
        <v>1.25E-3</v>
      </c>
      <c r="C26" s="131">
        <f t="shared" si="0"/>
        <v>75</v>
      </c>
      <c r="D26" s="126">
        <f>IFERROR(VLOOKUP($A26+$B26,Quotes!$A:$AAO,D$3+3,FALSE),0)</f>
        <v>2.495E-2</v>
      </c>
      <c r="F26" s="79" t="str">
        <f t="shared" si="1"/>
        <v>02/15/2051  0.125%   2.495%  XXXXXXXXXXXXXXXXXXXXXXXXXXXXXXXXXXXXXXXXXXXXXXXXXXXXXXXXXXXXXXXXXXXXXXXXXXX</v>
      </c>
    </row>
    <row r="27" spans="1:6" x14ac:dyDescent="0.35">
      <c r="A27" s="125">
        <v>55564</v>
      </c>
      <c r="B27" s="126">
        <v>1.25E-3</v>
      </c>
      <c r="C27" s="131">
        <f t="shared" si="0"/>
        <v>75</v>
      </c>
      <c r="D27" s="126">
        <f>IFERROR(VLOOKUP($A27+$B27,Quotes!$A:$AAO,D$3+3,FALSE),0)</f>
        <v>2.4910000000000002E-2</v>
      </c>
      <c r="F27" s="79" t="str">
        <f t="shared" si="1"/>
        <v>02/15/2052  0.125%   2.491%  XXXXXXXXXXXXXXXXXXXXXXXXXXXXXXXXXXXXXXXXXXXXXXXXXXXXXXXXXXXXXXXXXXXXXXXXXXX</v>
      </c>
    </row>
    <row r="28" spans="1:6" x14ac:dyDescent="0.35">
      <c r="A28" s="125">
        <v>55930</v>
      </c>
      <c r="B28" s="126">
        <v>1.4999999999999999E-2</v>
      </c>
      <c r="C28" s="131">
        <f t="shared" si="0"/>
        <v>75</v>
      </c>
      <c r="D28" s="126">
        <f>IFERROR(VLOOKUP($A28+$B28,Quotes!$A:$AAO,D$3+3,FALSE),0)</f>
        <v>2.4990000000000002E-2</v>
      </c>
      <c r="F28" s="79" t="str">
        <f t="shared" si="1"/>
        <v>02/15/2053  1.500%   2.499%  XXXXXXXXXXXXXXXXXXXXXXXXXXXXXXXXXXXXXXXXXXXXXXXXXXXXXXXXXXXXXXXXXXXXXXXXXXX</v>
      </c>
    </row>
    <row r="29" spans="1:6" x14ac:dyDescent="0.35">
      <c r="A29" s="125">
        <v>56295</v>
      </c>
      <c r="B29" s="126">
        <v>2.1250000000000002E-2</v>
      </c>
      <c r="C29" s="131">
        <f t="shared" si="0"/>
        <v>75</v>
      </c>
      <c r="D29" s="126">
        <f>IFERROR(VLOOKUP($A29+$B29,Quotes!$A:$AAO,D$3+3,FALSE),0)</f>
        <v>2.4929999999999997E-2</v>
      </c>
      <c r="F29" s="79" t="str">
        <f t="shared" si="1"/>
        <v>02/15/2054  2.125%   2.493%  XXXXXXXXXXXXXXXXXXXXXXXXXXXXXXXXXXXXXXXXXXXXXXXXXXXXXXXXXXXXXXXXXXXXXXXXXXX</v>
      </c>
    </row>
    <row r="30" spans="1:6" x14ac:dyDescent="0.35">
      <c r="A30" s="125">
        <v>56660</v>
      </c>
      <c r="B30" s="126">
        <v>2.375E-2</v>
      </c>
      <c r="C30" s="131">
        <f t="shared" si="0"/>
        <v>74</v>
      </c>
      <c r="D30" s="126">
        <f>IFERROR(VLOOKUP($A30+$B30,Quotes!$A:$AAO,D$3+3,FALSE),0)</f>
        <v>2.4780000000000003E-2</v>
      </c>
      <c r="F30" s="79" t="str">
        <f t="shared" si="1"/>
        <v>02/15/2055  2.375%   2.478%  XXXXXXXXXXXXXXXXXXXXXXXXXXXXXXXXXXXXXXXXXXXXXXXXXXXXXXXXXXXXXXXXXXXXXXXXXX</v>
      </c>
    </row>
    <row r="31" spans="1:6" x14ac:dyDescent="0.35">
      <c r="A31" t="s">
        <v>175</v>
      </c>
      <c r="C31" s="131">
        <f>MIN(C5:C30)</f>
        <v>37</v>
      </c>
    </row>
  </sheetData>
  <pageMargins left="0.7" right="0.7" top="0.75" bottom="0.75" header="0.3" footer="0.3"/>
  <ignoredErrors>
    <ignoredError sqref="C5:C30" 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AB4CE4-AC50-4C99-B998-6DED85EE7159}">
  <dimension ref="A1:M33"/>
  <sheetViews>
    <sheetView workbookViewId="0">
      <pane xSplit="1" ySplit="3" topLeftCell="B13" activePane="bottomRight" state="frozen"/>
      <selection pane="topRight" activeCell="B1" sqref="B1"/>
      <selection pane="bottomLeft" activeCell="A4" sqref="A4"/>
      <selection pane="bottomRight" activeCell="J34" sqref="J34"/>
    </sheetView>
  </sheetViews>
  <sheetFormatPr defaultColWidth="8.81640625" defaultRowHeight="14.5" x14ac:dyDescent="0.35"/>
  <cols>
    <col min="1" max="1" width="11.81640625" style="2" bestFit="1" customWidth="1"/>
    <col min="2" max="13" width="9.6328125" style="2" bestFit="1" customWidth="1"/>
    <col min="14" max="16384" width="8.81640625" style="2"/>
  </cols>
  <sheetData>
    <row r="1" spans="1:13" x14ac:dyDescent="0.35">
      <c r="A1" s="4" t="s">
        <v>50</v>
      </c>
      <c r="B1" s="4" t="s">
        <v>51</v>
      </c>
      <c r="C1" s="4" t="s">
        <v>52</v>
      </c>
      <c r="D1" s="4" t="s">
        <v>53</v>
      </c>
      <c r="E1" s="4" t="s">
        <v>54</v>
      </c>
      <c r="F1" s="4" t="s">
        <v>55</v>
      </c>
      <c r="G1" s="4" t="s">
        <v>56</v>
      </c>
      <c r="H1" s="4" t="s">
        <v>57</v>
      </c>
      <c r="I1" s="4" t="s">
        <v>58</v>
      </c>
      <c r="J1" s="4" t="s">
        <v>59</v>
      </c>
      <c r="K1" s="4" t="s">
        <v>60</v>
      </c>
      <c r="L1" s="4" t="s">
        <v>61</v>
      </c>
      <c r="M1" s="4" t="s">
        <v>62</v>
      </c>
    </row>
    <row r="2" spans="1:13" x14ac:dyDescent="0.35">
      <c r="A2" s="4" t="s">
        <v>63</v>
      </c>
      <c r="B2" s="4" t="s">
        <v>64</v>
      </c>
      <c r="C2" s="4" t="s">
        <v>65</v>
      </c>
      <c r="D2" s="4" t="s">
        <v>66</v>
      </c>
      <c r="E2" s="4" t="s">
        <v>67</v>
      </c>
      <c r="F2" s="4" t="s">
        <v>68</v>
      </c>
      <c r="G2" s="4" t="s">
        <v>69</v>
      </c>
      <c r="H2" s="4" t="s">
        <v>70</v>
      </c>
      <c r="I2" s="4" t="s">
        <v>71</v>
      </c>
      <c r="J2" s="4" t="s">
        <v>72</v>
      </c>
      <c r="K2" s="4" t="s">
        <v>73</v>
      </c>
      <c r="L2" s="4" t="s">
        <v>74</v>
      </c>
      <c r="M2" s="4" t="s">
        <v>75</v>
      </c>
    </row>
    <row r="3" spans="1:13" x14ac:dyDescent="0.35">
      <c r="A3" s="4" t="s">
        <v>76</v>
      </c>
      <c r="B3" s="4" t="s">
        <v>77</v>
      </c>
      <c r="C3" s="4" t="s">
        <v>78</v>
      </c>
      <c r="D3" s="4" t="s">
        <v>79</v>
      </c>
      <c r="E3" s="4" t="s">
        <v>80</v>
      </c>
      <c r="F3" s="4" t="s">
        <v>81</v>
      </c>
      <c r="G3" s="4" t="s">
        <v>82</v>
      </c>
      <c r="H3" s="4" t="s">
        <v>83</v>
      </c>
      <c r="I3" s="4" t="s">
        <v>84</v>
      </c>
      <c r="J3" s="4" t="s">
        <v>85</v>
      </c>
      <c r="K3" s="4" t="s">
        <v>86</v>
      </c>
      <c r="L3" s="4" t="s">
        <v>87</v>
      </c>
      <c r="M3" s="4" t="s">
        <v>88</v>
      </c>
    </row>
    <row r="4" spans="1:13" x14ac:dyDescent="0.35">
      <c r="A4" s="119">
        <v>1996</v>
      </c>
      <c r="B4" s="195">
        <v>154.4</v>
      </c>
      <c r="C4" s="195">
        <v>154.9</v>
      </c>
      <c r="D4" s="195">
        <v>155.69999999999999</v>
      </c>
      <c r="E4" s="195">
        <v>156.30000000000001</v>
      </c>
      <c r="F4" s="195">
        <v>156.6</v>
      </c>
      <c r="G4" s="195">
        <v>156.69999999999999</v>
      </c>
      <c r="H4" s="195">
        <v>157</v>
      </c>
      <c r="I4" s="195">
        <v>157.30000000000001</v>
      </c>
      <c r="J4" s="195">
        <v>157.80000000000001</v>
      </c>
      <c r="K4" s="195">
        <v>158.30000000000001</v>
      </c>
      <c r="L4" s="195">
        <v>158.6</v>
      </c>
      <c r="M4" s="195">
        <v>158.6</v>
      </c>
    </row>
    <row r="5" spans="1:13" x14ac:dyDescent="0.35">
      <c r="A5" s="119">
        <v>1997</v>
      </c>
      <c r="B5" s="195">
        <v>159.1</v>
      </c>
      <c r="C5" s="195">
        <v>159.6</v>
      </c>
      <c r="D5" s="195">
        <v>160</v>
      </c>
      <c r="E5" s="195">
        <v>160.19999999999999</v>
      </c>
      <c r="F5" s="195">
        <v>160.1</v>
      </c>
      <c r="G5" s="195">
        <v>160.30000000000001</v>
      </c>
      <c r="H5" s="195">
        <v>160.5</v>
      </c>
      <c r="I5" s="195">
        <v>160.80000000000001</v>
      </c>
      <c r="J5" s="195">
        <v>161.19999999999999</v>
      </c>
      <c r="K5" s="195">
        <v>161.6</v>
      </c>
      <c r="L5" s="195">
        <v>161.5</v>
      </c>
      <c r="M5" s="195">
        <v>161.30000000000001</v>
      </c>
    </row>
    <row r="6" spans="1:13" x14ac:dyDescent="0.35">
      <c r="A6" s="119">
        <v>1998</v>
      </c>
      <c r="B6" s="195">
        <v>161.6</v>
      </c>
      <c r="C6" s="195">
        <v>161.9</v>
      </c>
      <c r="D6" s="195">
        <v>162.19999999999999</v>
      </c>
      <c r="E6" s="195">
        <v>162.5</v>
      </c>
      <c r="F6" s="195">
        <v>162.80000000000001</v>
      </c>
      <c r="G6" s="195">
        <v>163</v>
      </c>
      <c r="H6" s="195">
        <v>163.19999999999999</v>
      </c>
      <c r="I6" s="195">
        <v>163.4</v>
      </c>
      <c r="J6" s="195">
        <v>163.6</v>
      </c>
      <c r="K6" s="195">
        <v>164</v>
      </c>
      <c r="L6" s="195">
        <v>164</v>
      </c>
      <c r="M6" s="195">
        <v>163.9</v>
      </c>
    </row>
    <row r="7" spans="1:13" x14ac:dyDescent="0.35">
      <c r="A7" s="11">
        <v>1999</v>
      </c>
      <c r="B7" s="195">
        <v>164.3</v>
      </c>
      <c r="C7" s="195">
        <v>164.5</v>
      </c>
      <c r="D7" s="195">
        <v>165</v>
      </c>
      <c r="E7" s="195">
        <v>166.2</v>
      </c>
      <c r="F7" s="195">
        <v>166.2</v>
      </c>
      <c r="G7" s="195">
        <v>166.2</v>
      </c>
      <c r="H7" s="195">
        <v>166.7</v>
      </c>
      <c r="I7" s="195">
        <v>167.1</v>
      </c>
      <c r="J7" s="195">
        <v>167.9</v>
      </c>
      <c r="K7" s="195">
        <v>168.2</v>
      </c>
      <c r="L7" s="195">
        <v>168.3</v>
      </c>
      <c r="M7" s="195">
        <v>168.3</v>
      </c>
    </row>
    <row r="8" spans="1:13" x14ac:dyDescent="0.35">
      <c r="A8" s="11">
        <v>2000</v>
      </c>
      <c r="B8" s="195">
        <v>168.8</v>
      </c>
      <c r="C8" s="195">
        <v>169.8</v>
      </c>
      <c r="D8" s="195">
        <v>171.2</v>
      </c>
      <c r="E8" s="195">
        <v>171.3</v>
      </c>
      <c r="F8" s="195">
        <v>171.5</v>
      </c>
      <c r="G8" s="195">
        <v>172.4</v>
      </c>
      <c r="H8" s="195">
        <v>172.8</v>
      </c>
      <c r="I8" s="195">
        <v>172.8</v>
      </c>
      <c r="J8" s="195">
        <v>173.7</v>
      </c>
      <c r="K8" s="195">
        <v>174</v>
      </c>
      <c r="L8" s="195">
        <v>174.1</v>
      </c>
      <c r="M8" s="195">
        <v>174</v>
      </c>
    </row>
    <row r="9" spans="1:13" x14ac:dyDescent="0.35">
      <c r="A9" s="11">
        <v>2001</v>
      </c>
      <c r="B9" s="195">
        <v>175.1</v>
      </c>
      <c r="C9" s="195">
        <v>175.8</v>
      </c>
      <c r="D9" s="195">
        <v>176.2</v>
      </c>
      <c r="E9" s="195">
        <v>176.9</v>
      </c>
      <c r="F9" s="195">
        <v>177.7</v>
      </c>
      <c r="G9" s="195">
        <v>178</v>
      </c>
      <c r="H9" s="195">
        <v>177.5</v>
      </c>
      <c r="I9" s="195">
        <v>177.5</v>
      </c>
      <c r="J9" s="195">
        <v>178.3</v>
      </c>
      <c r="K9" s="195">
        <v>177.7</v>
      </c>
      <c r="L9" s="195">
        <v>177.4</v>
      </c>
      <c r="M9" s="195">
        <v>176.7</v>
      </c>
    </row>
    <row r="10" spans="1:13" x14ac:dyDescent="0.35">
      <c r="A10" s="11">
        <v>2002</v>
      </c>
      <c r="B10" s="195">
        <v>177.1</v>
      </c>
      <c r="C10" s="195">
        <v>177.8</v>
      </c>
      <c r="D10" s="195">
        <v>178.8</v>
      </c>
      <c r="E10" s="195">
        <v>179.8</v>
      </c>
      <c r="F10" s="195">
        <v>179.8</v>
      </c>
      <c r="G10" s="195">
        <v>179.9</v>
      </c>
      <c r="H10" s="195">
        <v>180.1</v>
      </c>
      <c r="I10" s="195">
        <v>180.7</v>
      </c>
      <c r="J10" s="195">
        <v>181</v>
      </c>
      <c r="K10" s="195">
        <v>181.3</v>
      </c>
      <c r="L10" s="195">
        <v>181.3</v>
      </c>
      <c r="M10" s="195">
        <v>180.9</v>
      </c>
    </row>
    <row r="11" spans="1:13" x14ac:dyDescent="0.35">
      <c r="A11" s="11">
        <v>2003</v>
      </c>
      <c r="B11" s="195">
        <v>181.7</v>
      </c>
      <c r="C11" s="195">
        <v>183.1</v>
      </c>
      <c r="D11" s="195">
        <v>184.2</v>
      </c>
      <c r="E11" s="195">
        <v>183.8</v>
      </c>
      <c r="F11" s="195">
        <v>183.5</v>
      </c>
      <c r="G11" s="195">
        <v>183.7</v>
      </c>
      <c r="H11" s="195">
        <v>183.9</v>
      </c>
      <c r="I11" s="195">
        <v>184.6</v>
      </c>
      <c r="J11" s="195">
        <v>185.2</v>
      </c>
      <c r="K11" s="195">
        <v>185</v>
      </c>
      <c r="L11" s="195">
        <v>184.5</v>
      </c>
      <c r="M11" s="195">
        <v>184.3</v>
      </c>
    </row>
    <row r="12" spans="1:13" x14ac:dyDescent="0.35">
      <c r="A12" s="11">
        <v>2004</v>
      </c>
      <c r="B12" s="195">
        <v>185.2</v>
      </c>
      <c r="C12" s="195">
        <v>186.2</v>
      </c>
      <c r="D12" s="195">
        <v>187.4</v>
      </c>
      <c r="E12" s="195">
        <v>188</v>
      </c>
      <c r="F12" s="195">
        <v>189.1</v>
      </c>
      <c r="G12" s="195">
        <v>189.7</v>
      </c>
      <c r="H12" s="195">
        <v>189.4</v>
      </c>
      <c r="I12" s="195">
        <v>189.5</v>
      </c>
      <c r="J12" s="195">
        <v>189.9</v>
      </c>
      <c r="K12" s="195">
        <v>190.9</v>
      </c>
      <c r="L12" s="195">
        <v>191</v>
      </c>
      <c r="M12" s="195">
        <v>190.3</v>
      </c>
    </row>
    <row r="13" spans="1:13" x14ac:dyDescent="0.35">
      <c r="A13" s="11">
        <v>2005</v>
      </c>
      <c r="B13" s="195">
        <v>190.7</v>
      </c>
      <c r="C13" s="195">
        <v>191.8</v>
      </c>
      <c r="D13" s="195">
        <v>193.3</v>
      </c>
      <c r="E13" s="195">
        <v>194.6</v>
      </c>
      <c r="F13" s="195">
        <v>194.4</v>
      </c>
      <c r="G13" s="195">
        <v>194.5</v>
      </c>
      <c r="H13" s="195">
        <v>195.4</v>
      </c>
      <c r="I13" s="195">
        <v>196.4</v>
      </c>
      <c r="J13" s="195">
        <v>198.8</v>
      </c>
      <c r="K13" s="195">
        <v>199.2</v>
      </c>
      <c r="L13" s="195">
        <v>197.6</v>
      </c>
      <c r="M13" s="195">
        <v>196.8</v>
      </c>
    </row>
    <row r="14" spans="1:13" x14ac:dyDescent="0.35">
      <c r="A14" s="11">
        <v>2006</v>
      </c>
      <c r="B14" s="195">
        <v>198.3</v>
      </c>
      <c r="C14" s="195">
        <v>198.7</v>
      </c>
      <c r="D14" s="195">
        <v>199.8</v>
      </c>
      <c r="E14" s="195">
        <v>201.5</v>
      </c>
      <c r="F14" s="195">
        <v>202.5</v>
      </c>
      <c r="G14" s="195">
        <v>202.9</v>
      </c>
      <c r="H14" s="195">
        <v>203.5</v>
      </c>
      <c r="I14" s="195">
        <v>203.9</v>
      </c>
      <c r="J14" s="195">
        <v>202.9</v>
      </c>
      <c r="K14" s="195">
        <v>201.8</v>
      </c>
      <c r="L14" s="195">
        <v>201.5</v>
      </c>
      <c r="M14" s="195">
        <v>201.8</v>
      </c>
    </row>
    <row r="15" spans="1:13" x14ac:dyDescent="0.35">
      <c r="A15" s="11">
        <v>2007</v>
      </c>
      <c r="B15" s="5">
        <v>202.416</v>
      </c>
      <c r="C15" s="5">
        <v>203.499</v>
      </c>
      <c r="D15" s="5">
        <v>205.352</v>
      </c>
      <c r="E15" s="5">
        <v>206.68600000000001</v>
      </c>
      <c r="F15" s="5">
        <v>207.94900000000001</v>
      </c>
      <c r="G15" s="5">
        <v>208.352</v>
      </c>
      <c r="H15" s="5">
        <v>208.29900000000001</v>
      </c>
      <c r="I15" s="5">
        <v>207.917</v>
      </c>
      <c r="J15" s="5">
        <v>208.49</v>
      </c>
      <c r="K15" s="5">
        <v>208.93600000000001</v>
      </c>
      <c r="L15" s="5">
        <v>210.17699999999999</v>
      </c>
      <c r="M15" s="5">
        <v>210.036</v>
      </c>
    </row>
    <row r="16" spans="1:13" x14ac:dyDescent="0.35">
      <c r="A16" s="11">
        <v>2008</v>
      </c>
      <c r="B16" s="5">
        <v>211.08</v>
      </c>
      <c r="C16" s="5">
        <v>211.69300000000001</v>
      </c>
      <c r="D16" s="5">
        <v>213.52799999999999</v>
      </c>
      <c r="E16" s="5">
        <v>214.82300000000001</v>
      </c>
      <c r="F16" s="5">
        <v>216.63200000000001</v>
      </c>
      <c r="G16" s="5">
        <v>218.815</v>
      </c>
      <c r="H16" s="5">
        <v>219.964</v>
      </c>
      <c r="I16" s="5">
        <v>219.08600000000001</v>
      </c>
      <c r="J16" s="5">
        <v>218.78299999999999</v>
      </c>
      <c r="K16" s="5">
        <v>216.57300000000001</v>
      </c>
      <c r="L16" s="5">
        <v>212.42500000000001</v>
      </c>
      <c r="M16" s="5">
        <v>210.22800000000001</v>
      </c>
    </row>
    <row r="17" spans="1:13" x14ac:dyDescent="0.35">
      <c r="A17" s="11">
        <v>2009</v>
      </c>
      <c r="B17" s="5">
        <v>211.143</v>
      </c>
      <c r="C17" s="5">
        <v>212.19300000000001</v>
      </c>
      <c r="D17" s="5">
        <v>212.709</v>
      </c>
      <c r="E17" s="5">
        <v>213.24</v>
      </c>
      <c r="F17" s="5">
        <v>213.85599999999999</v>
      </c>
      <c r="G17" s="5">
        <v>215.69300000000001</v>
      </c>
      <c r="H17" s="5">
        <v>215.351</v>
      </c>
      <c r="I17" s="5">
        <v>215.834</v>
      </c>
      <c r="J17" s="5">
        <v>215.96899999999999</v>
      </c>
      <c r="K17" s="5">
        <v>216.17699999999999</v>
      </c>
      <c r="L17" s="5">
        <v>216.33</v>
      </c>
      <c r="M17" s="5">
        <v>215.94900000000001</v>
      </c>
    </row>
    <row r="18" spans="1:13" x14ac:dyDescent="0.35">
      <c r="A18" s="11">
        <v>2010</v>
      </c>
      <c r="B18" s="5">
        <v>216.68700000000001</v>
      </c>
      <c r="C18" s="5">
        <v>216.74100000000001</v>
      </c>
      <c r="D18" s="5">
        <v>217.631</v>
      </c>
      <c r="E18" s="5">
        <v>218.00899999999999</v>
      </c>
      <c r="F18" s="5">
        <v>218.178</v>
      </c>
      <c r="G18" s="5">
        <v>217.965</v>
      </c>
      <c r="H18" s="5">
        <v>218.011</v>
      </c>
      <c r="I18" s="5">
        <v>218.31200000000001</v>
      </c>
      <c r="J18" s="5">
        <v>218.43899999999999</v>
      </c>
      <c r="K18" s="5">
        <v>218.71100000000001</v>
      </c>
      <c r="L18" s="5">
        <v>218.803</v>
      </c>
      <c r="M18" s="5">
        <v>219.179</v>
      </c>
    </row>
    <row r="19" spans="1:13" x14ac:dyDescent="0.35">
      <c r="A19" s="11">
        <v>2011</v>
      </c>
      <c r="B19" s="5">
        <v>220.22300000000001</v>
      </c>
      <c r="C19" s="5">
        <v>221.309</v>
      </c>
      <c r="D19" s="5">
        <v>223.46700000000001</v>
      </c>
      <c r="E19" s="5">
        <v>224.90600000000001</v>
      </c>
      <c r="F19" s="5">
        <v>225.964</v>
      </c>
      <c r="G19" s="5">
        <v>225.72200000000001</v>
      </c>
      <c r="H19" s="5">
        <v>225.922</v>
      </c>
      <c r="I19" s="5">
        <v>226.54499999999999</v>
      </c>
      <c r="J19" s="5">
        <v>226.88900000000001</v>
      </c>
      <c r="K19" s="5">
        <v>226.42099999999999</v>
      </c>
      <c r="L19" s="5">
        <v>226.23</v>
      </c>
      <c r="M19" s="5">
        <v>225.672</v>
      </c>
    </row>
    <row r="20" spans="1:13" x14ac:dyDescent="0.35">
      <c r="A20" s="11">
        <v>2012</v>
      </c>
      <c r="B20" s="5">
        <v>226.66499999999999</v>
      </c>
      <c r="C20" s="5">
        <v>227.66300000000001</v>
      </c>
      <c r="D20" s="5">
        <v>229.392</v>
      </c>
      <c r="E20" s="5">
        <v>230.08500000000001</v>
      </c>
      <c r="F20" s="5">
        <v>229.815</v>
      </c>
      <c r="G20" s="5">
        <v>229.47800000000001</v>
      </c>
      <c r="H20" s="5">
        <v>229.10400000000001</v>
      </c>
      <c r="I20" s="5">
        <v>230.37899999999999</v>
      </c>
      <c r="J20" s="5">
        <v>231.40700000000001</v>
      </c>
      <c r="K20" s="5">
        <v>231.31700000000001</v>
      </c>
      <c r="L20" s="5">
        <v>230.221</v>
      </c>
      <c r="M20" s="5">
        <v>229.601</v>
      </c>
    </row>
    <row r="21" spans="1:13" x14ac:dyDescent="0.35">
      <c r="A21" s="11">
        <v>2013</v>
      </c>
      <c r="B21" s="5">
        <v>230.28</v>
      </c>
      <c r="C21" s="5">
        <v>232.166</v>
      </c>
      <c r="D21" s="5">
        <v>232.773</v>
      </c>
      <c r="E21" s="5">
        <v>232.53100000000001</v>
      </c>
      <c r="F21" s="5">
        <v>232.94499999999999</v>
      </c>
      <c r="G21" s="5">
        <v>233.50399999999999</v>
      </c>
      <c r="H21" s="5">
        <v>233.596</v>
      </c>
      <c r="I21" s="5">
        <v>233.87700000000001</v>
      </c>
      <c r="J21" s="5">
        <v>234.149</v>
      </c>
      <c r="K21" s="5">
        <v>233.54599999999999</v>
      </c>
      <c r="L21" s="5">
        <v>233.06899999999999</v>
      </c>
      <c r="M21" s="5">
        <v>233.04900000000001</v>
      </c>
    </row>
    <row r="22" spans="1:13" x14ac:dyDescent="0.35">
      <c r="A22" s="11">
        <v>2014</v>
      </c>
      <c r="B22" s="5">
        <v>233.916</v>
      </c>
      <c r="C22" s="5">
        <v>234.78100000000001</v>
      </c>
      <c r="D22" s="5">
        <v>236.29300000000001</v>
      </c>
      <c r="E22" s="5">
        <v>237.072</v>
      </c>
      <c r="F22" s="5">
        <v>237.9</v>
      </c>
      <c r="G22" s="5">
        <v>238.34299999999999</v>
      </c>
      <c r="H22" s="5">
        <v>238.25</v>
      </c>
      <c r="I22" s="5">
        <v>237.852</v>
      </c>
      <c r="J22" s="5">
        <v>238.03100000000001</v>
      </c>
      <c r="K22" s="5">
        <v>237.43299999999999</v>
      </c>
      <c r="L22" s="5">
        <v>236.15100000000001</v>
      </c>
      <c r="M22" s="5">
        <v>234.81200000000001</v>
      </c>
    </row>
    <row r="23" spans="1:13" x14ac:dyDescent="0.35">
      <c r="A23" s="11">
        <v>2015</v>
      </c>
      <c r="B23" s="5">
        <v>233.70699999999999</v>
      </c>
      <c r="C23" s="5">
        <v>234.72200000000001</v>
      </c>
      <c r="D23" s="5">
        <v>236.119</v>
      </c>
      <c r="E23" s="5">
        <v>236.59899999999999</v>
      </c>
      <c r="F23" s="5">
        <v>237.80500000000001</v>
      </c>
      <c r="G23" s="5">
        <v>238.63800000000001</v>
      </c>
      <c r="H23" s="5">
        <v>238.654</v>
      </c>
      <c r="I23" s="5">
        <v>238.316</v>
      </c>
      <c r="J23" s="5">
        <v>237.94499999999999</v>
      </c>
      <c r="K23" s="5">
        <v>237.83799999999999</v>
      </c>
      <c r="L23" s="5">
        <v>237.33600000000001</v>
      </c>
      <c r="M23" s="5">
        <v>236.52500000000001</v>
      </c>
    </row>
    <row r="24" spans="1:13" x14ac:dyDescent="0.35">
      <c r="A24" s="11">
        <v>2016</v>
      </c>
      <c r="B24" s="5">
        <v>236.916</v>
      </c>
      <c r="C24" s="5">
        <v>237.11099999999999</v>
      </c>
      <c r="D24" s="5">
        <v>238.13200000000001</v>
      </c>
      <c r="E24" s="5">
        <v>239.261</v>
      </c>
      <c r="F24" s="5">
        <v>240.23599999999999</v>
      </c>
      <c r="G24" s="5">
        <v>241.03800000000001</v>
      </c>
      <c r="H24" s="5">
        <v>240.64699999999999</v>
      </c>
      <c r="I24" s="5">
        <v>240.85300000000001</v>
      </c>
      <c r="J24" s="5">
        <v>241.428</v>
      </c>
      <c r="K24" s="5">
        <v>241.72900000000001</v>
      </c>
      <c r="L24" s="5">
        <v>241.35300000000001</v>
      </c>
      <c r="M24" s="5">
        <v>241.43199999999999</v>
      </c>
    </row>
    <row r="25" spans="1:13" x14ac:dyDescent="0.35">
      <c r="A25" s="11">
        <v>2017</v>
      </c>
      <c r="B25" s="5">
        <v>242.839</v>
      </c>
      <c r="C25" s="5">
        <v>243.60300000000001</v>
      </c>
      <c r="D25" s="5">
        <v>243.80099999999999</v>
      </c>
      <c r="E25" s="5">
        <v>244.524</v>
      </c>
      <c r="F25" s="5">
        <v>244.733</v>
      </c>
      <c r="G25" s="5">
        <v>244.95500000000001</v>
      </c>
      <c r="H25" s="5">
        <v>244.786</v>
      </c>
      <c r="I25" s="5">
        <v>245.51900000000001</v>
      </c>
      <c r="J25" s="5">
        <v>246.81899999999999</v>
      </c>
      <c r="K25" s="5">
        <v>246.66300000000001</v>
      </c>
      <c r="L25" s="5">
        <v>246.66900000000001</v>
      </c>
      <c r="M25" s="5">
        <v>246.524</v>
      </c>
    </row>
    <row r="26" spans="1:13" x14ac:dyDescent="0.35">
      <c r="A26" s="11">
        <v>2018</v>
      </c>
      <c r="B26" s="5">
        <v>247.86699999999999</v>
      </c>
      <c r="C26" s="5">
        <v>248.99100000000001</v>
      </c>
      <c r="D26" s="5">
        <v>249.554</v>
      </c>
      <c r="E26" s="5">
        <v>250.54599999999999</v>
      </c>
      <c r="F26" s="5">
        <v>251.58799999999999</v>
      </c>
      <c r="G26" s="5">
        <v>251.989</v>
      </c>
      <c r="H26" s="5">
        <v>252.006</v>
      </c>
      <c r="I26" s="5">
        <v>252.14599999999999</v>
      </c>
      <c r="J26" s="5">
        <v>252.43899999999999</v>
      </c>
      <c r="K26" s="5">
        <v>252.88499999999999</v>
      </c>
      <c r="L26" s="5">
        <v>252.03800000000001</v>
      </c>
      <c r="M26" s="5">
        <v>251.233</v>
      </c>
    </row>
    <row r="27" spans="1:13" x14ac:dyDescent="0.35">
      <c r="A27" s="11">
        <v>2019</v>
      </c>
      <c r="B27" s="5">
        <v>251.71199999999999</v>
      </c>
      <c r="C27" s="5">
        <v>252.77600000000001</v>
      </c>
      <c r="D27" s="5">
        <v>254.202</v>
      </c>
      <c r="E27" s="5">
        <v>255.548</v>
      </c>
      <c r="F27" s="5">
        <v>256.09199999999998</v>
      </c>
      <c r="G27" s="5">
        <v>256.14299999999997</v>
      </c>
      <c r="H27" s="5">
        <v>256.57100000000003</v>
      </c>
      <c r="I27" s="5">
        <v>256.55799999999999</v>
      </c>
      <c r="J27" s="5">
        <v>256.75900000000001</v>
      </c>
      <c r="K27" s="5">
        <v>257.346</v>
      </c>
      <c r="L27" s="5">
        <v>257.20800000000003</v>
      </c>
      <c r="M27" s="5">
        <v>256.97399999999999</v>
      </c>
    </row>
    <row r="28" spans="1:13" x14ac:dyDescent="0.35">
      <c r="A28" s="11">
        <v>2020</v>
      </c>
      <c r="B28" s="5">
        <v>257.971</v>
      </c>
      <c r="C28" s="5">
        <v>258.678</v>
      </c>
      <c r="D28" s="5">
        <v>258.11500000000001</v>
      </c>
      <c r="E28" s="5">
        <v>256.38900000000001</v>
      </c>
      <c r="F28" s="5">
        <v>256.39400000000001</v>
      </c>
      <c r="G28" s="5">
        <v>257.79700000000003</v>
      </c>
      <c r="H28" s="5">
        <v>259.101</v>
      </c>
      <c r="I28" s="5">
        <v>259.91800000000001</v>
      </c>
      <c r="J28" s="5">
        <v>260.27999999999997</v>
      </c>
      <c r="K28" s="5">
        <v>260.38799999999998</v>
      </c>
      <c r="L28" s="5">
        <v>260.22899999999998</v>
      </c>
      <c r="M28" s="5">
        <v>260.47399999999999</v>
      </c>
    </row>
    <row r="29" spans="1:13" x14ac:dyDescent="0.35">
      <c r="A29" s="11">
        <v>2021</v>
      </c>
      <c r="B29" s="5">
        <v>261.58199999999999</v>
      </c>
      <c r="C29" s="5">
        <v>263.01400000000001</v>
      </c>
      <c r="D29" s="5">
        <v>264.87700000000001</v>
      </c>
      <c r="E29" s="5">
        <v>267.05399999999997</v>
      </c>
      <c r="F29" s="5">
        <v>269.19499999999999</v>
      </c>
      <c r="G29" s="5">
        <v>271.69600000000003</v>
      </c>
      <c r="H29" s="5">
        <v>273.00299999999999</v>
      </c>
      <c r="I29" s="5">
        <v>273.56700000000001</v>
      </c>
      <c r="J29" s="5">
        <v>274.31</v>
      </c>
      <c r="K29" s="5">
        <v>276.589</v>
      </c>
      <c r="L29" s="5">
        <v>277.94799999999998</v>
      </c>
      <c r="M29" s="5">
        <v>278.80200000000002</v>
      </c>
    </row>
    <row r="30" spans="1:13" x14ac:dyDescent="0.35">
      <c r="A30" s="11">
        <v>2022</v>
      </c>
      <c r="B30" s="5">
        <v>281.14800000000002</v>
      </c>
      <c r="C30" s="5">
        <v>283.71600000000001</v>
      </c>
      <c r="D30" s="5">
        <v>287.50400000000002</v>
      </c>
      <c r="E30" s="5">
        <v>289.10899999999998</v>
      </c>
      <c r="F30" s="5">
        <v>292.29599999999999</v>
      </c>
      <c r="G30" s="5">
        <v>296.31099999999998</v>
      </c>
      <c r="H30" s="5">
        <v>296.27600000000001</v>
      </c>
      <c r="I30" s="5">
        <v>296.17099999999999</v>
      </c>
      <c r="J30" s="5">
        <v>296.80799999999999</v>
      </c>
      <c r="K30" s="5">
        <v>298.012</v>
      </c>
      <c r="L30" s="5">
        <v>297.71100000000001</v>
      </c>
      <c r="M30" s="5">
        <v>296.79700000000003</v>
      </c>
    </row>
    <row r="31" spans="1:13" x14ac:dyDescent="0.35">
      <c r="A31" s="11">
        <v>2023</v>
      </c>
      <c r="B31" s="5">
        <v>299.17</v>
      </c>
      <c r="C31" s="5">
        <v>300.83999999999997</v>
      </c>
      <c r="D31" s="5">
        <v>301.83600000000001</v>
      </c>
      <c r="E31" s="5">
        <v>303.363</v>
      </c>
      <c r="F31" s="5">
        <v>304.12700000000001</v>
      </c>
      <c r="G31" s="5">
        <v>305.10899999999998</v>
      </c>
      <c r="H31" s="5">
        <v>305.69099999999997</v>
      </c>
      <c r="I31" s="5">
        <v>307.02600000000001</v>
      </c>
      <c r="J31" s="5">
        <v>307.78899999999999</v>
      </c>
      <c r="K31" s="5">
        <v>307.67099999999999</v>
      </c>
      <c r="L31" s="5">
        <v>307.05099999999999</v>
      </c>
      <c r="M31" s="5">
        <v>306.74599999999998</v>
      </c>
    </row>
    <row r="32" spans="1:13" x14ac:dyDescent="0.35">
      <c r="A32" s="11">
        <v>2024</v>
      </c>
      <c r="B32" s="5">
        <v>308.41699999999997</v>
      </c>
      <c r="C32" s="5">
        <v>310.32600000000002</v>
      </c>
      <c r="D32" s="5">
        <v>312.33199999999999</v>
      </c>
      <c r="E32" s="5">
        <v>313.548</v>
      </c>
      <c r="F32" s="5">
        <v>314.06900000000002</v>
      </c>
      <c r="G32" s="5">
        <v>314.17500000000001</v>
      </c>
      <c r="H32" s="5">
        <v>314.54000000000002</v>
      </c>
      <c r="I32" s="5">
        <v>314.79599999999999</v>
      </c>
      <c r="J32" s="5">
        <v>315.30099999999999</v>
      </c>
      <c r="K32" s="5">
        <v>315.66399999999999</v>
      </c>
      <c r="L32" s="5">
        <v>315.49299999999999</v>
      </c>
      <c r="M32" s="5">
        <v>315.60500000000002</v>
      </c>
    </row>
    <row r="33" spans="1:13" x14ac:dyDescent="0.35">
      <c r="A33" s="11">
        <v>2025</v>
      </c>
      <c r="B33" s="5">
        <v>317.67099999999999</v>
      </c>
      <c r="C33" s="5">
        <v>319.08199999999999</v>
      </c>
      <c r="D33" s="5">
        <v>319.79899999999998</v>
      </c>
      <c r="E33" s="5">
        <v>320.79500000000002</v>
      </c>
      <c r="F33" s="5">
        <v>321.46499999999997</v>
      </c>
      <c r="G33" s="217">
        <v>322.56099999999998</v>
      </c>
      <c r="H33" s="5">
        <v>323.048</v>
      </c>
      <c r="I33" s="5">
        <v>323.976</v>
      </c>
      <c r="J33" s="238">
        <v>324.8</v>
      </c>
      <c r="K33" s="5"/>
      <c r="L33" s="5"/>
      <c r="M33" s="5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777EF5-A27F-465D-BF06-7F0CB745101A}">
  <dimension ref="A1:D55"/>
  <sheetViews>
    <sheetView topLeftCell="A10" workbookViewId="0">
      <selection activeCell="C56" sqref="C56"/>
    </sheetView>
  </sheetViews>
  <sheetFormatPr defaultRowHeight="14.5" x14ac:dyDescent="0.35"/>
  <cols>
    <col min="1" max="1" width="3.6328125" style="120" customWidth="1"/>
  </cols>
  <sheetData>
    <row r="1" spans="1:4" x14ac:dyDescent="0.35">
      <c r="A1" s="120" t="s">
        <v>176</v>
      </c>
    </row>
    <row r="2" spans="1:4" x14ac:dyDescent="0.35">
      <c r="B2" t="s">
        <v>179</v>
      </c>
    </row>
    <row r="3" spans="1:4" x14ac:dyDescent="0.35">
      <c r="C3" t="s">
        <v>180</v>
      </c>
    </row>
    <row r="4" spans="1:4" x14ac:dyDescent="0.35">
      <c r="C4" t="s">
        <v>181</v>
      </c>
    </row>
    <row r="5" spans="1:4" x14ac:dyDescent="0.35">
      <c r="B5" t="s">
        <v>182</v>
      </c>
    </row>
    <row r="6" spans="1:4" x14ac:dyDescent="0.35">
      <c r="C6" s="24" t="s">
        <v>136</v>
      </c>
      <c r="D6" t="s">
        <v>185</v>
      </c>
    </row>
    <row r="7" spans="1:4" x14ac:dyDescent="0.35">
      <c r="C7" s="24" t="s">
        <v>183</v>
      </c>
      <c r="D7" t="s">
        <v>186</v>
      </c>
    </row>
    <row r="8" spans="1:4" x14ac:dyDescent="0.35">
      <c r="C8" s="24" t="s">
        <v>184</v>
      </c>
      <c r="D8" t="s">
        <v>187</v>
      </c>
    </row>
    <row r="9" spans="1:4" x14ac:dyDescent="0.35">
      <c r="C9" s="24" t="s">
        <v>104</v>
      </c>
      <c r="D9" t="s">
        <v>188</v>
      </c>
    </row>
    <row r="10" spans="1:4" x14ac:dyDescent="0.35">
      <c r="C10" s="24" t="s">
        <v>105</v>
      </c>
      <c r="D10" t="s">
        <v>189</v>
      </c>
    </row>
    <row r="11" spans="1:4" x14ac:dyDescent="0.35">
      <c r="B11" t="s">
        <v>190</v>
      </c>
    </row>
    <row r="12" spans="1:4" x14ac:dyDescent="0.35">
      <c r="C12" s="135" t="s">
        <v>191</v>
      </c>
    </row>
    <row r="14" spans="1:4" x14ac:dyDescent="0.35">
      <c r="A14" s="120" t="s">
        <v>177</v>
      </c>
    </row>
    <row r="15" spans="1:4" x14ac:dyDescent="0.35">
      <c r="B15" t="s">
        <v>145</v>
      </c>
    </row>
    <row r="16" spans="1:4" x14ac:dyDescent="0.35">
      <c r="B16" s="121" t="s">
        <v>146</v>
      </c>
    </row>
    <row r="17" spans="1:4" x14ac:dyDescent="0.35">
      <c r="B17" t="s">
        <v>147</v>
      </c>
    </row>
    <row r="18" spans="1:4" x14ac:dyDescent="0.35">
      <c r="B18" t="s">
        <v>148</v>
      </c>
    </row>
    <row r="19" spans="1:4" x14ac:dyDescent="0.35">
      <c r="C19" t="s">
        <v>200</v>
      </c>
    </row>
    <row r="20" spans="1:4" x14ac:dyDescent="0.35">
      <c r="C20" t="s">
        <v>149</v>
      </c>
    </row>
    <row r="21" spans="1:4" x14ac:dyDescent="0.35">
      <c r="C21" t="s">
        <v>150</v>
      </c>
    </row>
    <row r="22" spans="1:4" x14ac:dyDescent="0.35">
      <c r="D22" t="s">
        <v>151</v>
      </c>
    </row>
    <row r="23" spans="1:4" x14ac:dyDescent="0.35">
      <c r="D23" t="s">
        <v>164</v>
      </c>
    </row>
    <row r="24" spans="1:4" x14ac:dyDescent="0.35">
      <c r="C24" t="s">
        <v>201</v>
      </c>
    </row>
    <row r="26" spans="1:4" x14ac:dyDescent="0.35">
      <c r="A26" s="120" t="s">
        <v>178</v>
      </c>
    </row>
    <row r="27" spans="1:4" x14ac:dyDescent="0.35">
      <c r="B27" t="s">
        <v>152</v>
      </c>
    </row>
    <row r="28" spans="1:4" x14ac:dyDescent="0.35">
      <c r="B28" s="121" t="s">
        <v>153</v>
      </c>
    </row>
    <row r="29" spans="1:4" x14ac:dyDescent="0.35">
      <c r="B29" t="s">
        <v>154</v>
      </c>
    </row>
    <row r="30" spans="1:4" x14ac:dyDescent="0.35">
      <c r="B30" s="121" t="s">
        <v>155</v>
      </c>
    </row>
    <row r="32" spans="1:4" x14ac:dyDescent="0.35">
      <c r="B32" t="s">
        <v>157</v>
      </c>
    </row>
    <row r="33" spans="1:3" x14ac:dyDescent="0.35">
      <c r="B33" t="s">
        <v>148</v>
      </c>
    </row>
    <row r="34" spans="1:3" x14ac:dyDescent="0.35">
      <c r="C34" t="s">
        <v>163</v>
      </c>
    </row>
    <row r="35" spans="1:3" x14ac:dyDescent="0.35">
      <c r="C35" t="s">
        <v>162</v>
      </c>
    </row>
    <row r="36" spans="1:3" x14ac:dyDescent="0.35">
      <c r="C36" t="s">
        <v>156</v>
      </c>
    </row>
    <row r="37" spans="1:3" x14ac:dyDescent="0.35">
      <c r="C37" t="s">
        <v>160</v>
      </c>
    </row>
    <row r="38" spans="1:3" x14ac:dyDescent="0.35">
      <c r="C38" s="121" t="s">
        <v>158</v>
      </c>
    </row>
    <row r="39" spans="1:3" x14ac:dyDescent="0.35">
      <c r="A39"/>
      <c r="C39" t="s">
        <v>205</v>
      </c>
    </row>
    <row r="40" spans="1:3" x14ac:dyDescent="0.35">
      <c r="A40"/>
      <c r="C40" t="s">
        <v>206</v>
      </c>
    </row>
    <row r="41" spans="1:3" x14ac:dyDescent="0.35">
      <c r="A41"/>
    </row>
    <row r="42" spans="1:3" x14ac:dyDescent="0.35">
      <c r="C42" s="121"/>
    </row>
    <row r="43" spans="1:3" x14ac:dyDescent="0.35">
      <c r="B43" t="s">
        <v>161</v>
      </c>
    </row>
    <row r="44" spans="1:3" x14ac:dyDescent="0.35">
      <c r="B44" t="s">
        <v>159</v>
      </c>
    </row>
    <row r="45" spans="1:3" x14ac:dyDescent="0.35">
      <c r="B45" s="121" t="s">
        <v>158</v>
      </c>
    </row>
    <row r="47" spans="1:3" x14ac:dyDescent="0.35">
      <c r="A47" s="120" t="s">
        <v>192</v>
      </c>
    </row>
    <row r="48" spans="1:3" x14ac:dyDescent="0.35">
      <c r="B48" t="s">
        <v>198</v>
      </c>
    </row>
    <row r="49" spans="2:4" x14ac:dyDescent="0.35">
      <c r="B49" t="s">
        <v>203</v>
      </c>
    </row>
    <row r="50" spans="2:4" x14ac:dyDescent="0.35">
      <c r="C50" t="s">
        <v>202</v>
      </c>
    </row>
    <row r="51" spans="2:4" x14ac:dyDescent="0.35">
      <c r="C51" t="s">
        <v>197</v>
      </c>
    </row>
    <row r="53" spans="2:4" x14ac:dyDescent="0.35">
      <c r="C53" t="s">
        <v>193</v>
      </c>
      <c r="D53" t="s">
        <v>195</v>
      </c>
    </row>
    <row r="54" spans="2:4" x14ac:dyDescent="0.35">
      <c r="C54" t="s">
        <v>194</v>
      </c>
      <c r="D54" t="s">
        <v>196</v>
      </c>
    </row>
    <row r="55" spans="2:4" x14ac:dyDescent="0.35">
      <c r="C55" t="s">
        <v>230</v>
      </c>
      <c r="D55" t="s">
        <v>231</v>
      </c>
    </row>
  </sheetData>
  <hyperlinks>
    <hyperlink ref="B16" r:id="rId1" xr:uid="{74EB5BE7-3A04-489E-A2DA-470AB3EF888D}"/>
    <hyperlink ref="B28" r:id="rId2" xr:uid="{13C36A12-1397-4007-BA19-78B2A97D4EB4}"/>
    <hyperlink ref="B30" r:id="rId3" xr:uid="{2DEF0DE5-882B-4E0E-9477-403827FC6D28}"/>
    <hyperlink ref="C38" r:id="rId4" xr:uid="{71CC5989-2DBE-42BB-986E-3EB9C5A7635E}"/>
    <hyperlink ref="B45" r:id="rId5" xr:uid="{5DF43552-E296-457D-9AB7-DD6E54C95EF7}"/>
    <hyperlink ref="C12" r:id="rId6" xr:uid="{D457B638-CB05-4307-90DE-E160BF47C586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C32B3F-9D03-4E36-9949-7DFA6257BD6F}">
  <dimension ref="A1:C41"/>
  <sheetViews>
    <sheetView workbookViewId="0">
      <selection activeCell="A42" sqref="A42"/>
    </sheetView>
  </sheetViews>
  <sheetFormatPr defaultColWidth="8.81640625" defaultRowHeight="14.5" x14ac:dyDescent="0.35"/>
  <cols>
    <col min="1" max="1" width="11" style="122" customWidth="1"/>
    <col min="2" max="16384" width="8.81640625" style="2"/>
  </cols>
  <sheetData>
    <row r="1" spans="1:2" x14ac:dyDescent="0.35">
      <c r="A1" s="122">
        <v>45652</v>
      </c>
      <c r="B1" s="2" t="s">
        <v>45</v>
      </c>
    </row>
    <row r="2" spans="1:2" x14ac:dyDescent="0.35">
      <c r="B2" s="118" t="s">
        <v>142</v>
      </c>
    </row>
    <row r="3" spans="1:2" x14ac:dyDescent="0.35">
      <c r="B3" s="138" t="s">
        <v>204</v>
      </c>
    </row>
    <row r="4" spans="1:2" x14ac:dyDescent="0.35">
      <c r="B4" s="3" t="s">
        <v>46</v>
      </c>
    </row>
    <row r="5" spans="1:2" x14ac:dyDescent="0.35">
      <c r="B5" s="118" t="s">
        <v>143</v>
      </c>
    </row>
    <row r="6" spans="1:2" customFormat="1" x14ac:dyDescent="0.35">
      <c r="A6" s="123"/>
      <c r="B6" s="118" t="s">
        <v>144</v>
      </c>
    </row>
    <row r="7" spans="1:2" customFormat="1" x14ac:dyDescent="0.35">
      <c r="A7" s="123">
        <v>45657</v>
      </c>
      <c r="B7" s="136" t="s">
        <v>199</v>
      </c>
    </row>
    <row r="8" spans="1:2" customFormat="1" x14ac:dyDescent="0.35">
      <c r="A8" s="123">
        <v>45657</v>
      </c>
      <c r="B8" s="124" t="s">
        <v>165</v>
      </c>
    </row>
    <row r="9" spans="1:2" x14ac:dyDescent="0.35">
      <c r="A9" s="122">
        <v>45663</v>
      </c>
      <c r="B9" s="144" t="s">
        <v>209</v>
      </c>
    </row>
    <row r="10" spans="1:2" x14ac:dyDescent="0.35">
      <c r="B10" s="144" t="s">
        <v>211</v>
      </c>
    </row>
    <row r="11" spans="1:2" x14ac:dyDescent="0.35">
      <c r="A11" s="122">
        <v>45665</v>
      </c>
      <c r="B11" s="148" t="s">
        <v>213</v>
      </c>
    </row>
    <row r="12" spans="1:2" x14ac:dyDescent="0.35">
      <c r="A12" s="122">
        <v>45671</v>
      </c>
      <c r="B12" s="149" t="s">
        <v>214</v>
      </c>
    </row>
    <row r="13" spans="1:2" x14ac:dyDescent="0.35">
      <c r="A13" s="122">
        <v>45672</v>
      </c>
      <c r="B13" s="150" t="s">
        <v>215</v>
      </c>
    </row>
    <row r="14" spans="1:2" x14ac:dyDescent="0.35">
      <c r="B14" s="150" t="s">
        <v>218</v>
      </c>
    </row>
    <row r="15" spans="1:2" x14ac:dyDescent="0.35">
      <c r="A15" s="122">
        <v>45688</v>
      </c>
      <c r="B15" s="153" t="s">
        <v>219</v>
      </c>
    </row>
    <row r="16" spans="1:2" x14ac:dyDescent="0.35">
      <c r="B16" s="154" t="s">
        <v>221</v>
      </c>
    </row>
    <row r="17" spans="1:3" x14ac:dyDescent="0.35">
      <c r="A17" s="157">
        <v>45716</v>
      </c>
      <c r="B17" s="156" t="s">
        <v>223</v>
      </c>
    </row>
    <row r="18" spans="1:3" x14ac:dyDescent="0.35">
      <c r="B18" s="156" t="s">
        <v>226</v>
      </c>
    </row>
    <row r="19" spans="1:3" x14ac:dyDescent="0.35">
      <c r="A19" s="122">
        <v>45719</v>
      </c>
      <c r="B19" s="165" t="s">
        <v>227</v>
      </c>
    </row>
    <row r="20" spans="1:3" x14ac:dyDescent="0.35">
      <c r="A20" s="166">
        <v>45726</v>
      </c>
      <c r="B20" s="167" t="s">
        <v>229</v>
      </c>
    </row>
    <row r="21" spans="1:3" x14ac:dyDescent="0.35">
      <c r="A21" s="122">
        <v>45747</v>
      </c>
      <c r="B21" s="168" t="s">
        <v>232</v>
      </c>
    </row>
    <row r="22" spans="1:3" x14ac:dyDescent="0.35">
      <c r="B22" s="169" t="s">
        <v>233</v>
      </c>
    </row>
    <row r="23" spans="1:3" x14ac:dyDescent="0.35">
      <c r="A23" s="122">
        <v>45777</v>
      </c>
      <c r="B23" s="172" t="s">
        <v>235</v>
      </c>
    </row>
    <row r="24" spans="1:3" x14ac:dyDescent="0.35">
      <c r="A24" s="122">
        <v>45778</v>
      </c>
      <c r="B24" s="173" t="s">
        <v>236</v>
      </c>
    </row>
    <row r="25" spans="1:3" x14ac:dyDescent="0.35">
      <c r="B25" s="173" t="s">
        <v>237</v>
      </c>
    </row>
    <row r="26" spans="1:3" x14ac:dyDescent="0.35">
      <c r="B26" s="173" t="s">
        <v>238</v>
      </c>
    </row>
    <row r="27" spans="1:3" x14ac:dyDescent="0.35">
      <c r="B27" s="211" t="s">
        <v>248</v>
      </c>
    </row>
    <row r="28" spans="1:3" x14ac:dyDescent="0.35">
      <c r="A28" s="122">
        <v>45779</v>
      </c>
      <c r="B28" s="211" t="s">
        <v>249</v>
      </c>
    </row>
    <row r="29" spans="1:3" x14ac:dyDescent="0.35">
      <c r="B29" s="211"/>
      <c r="C29" s="215" t="s">
        <v>256</v>
      </c>
    </row>
    <row r="30" spans="1:3" x14ac:dyDescent="0.35">
      <c r="C30" s="211" t="s">
        <v>250</v>
      </c>
    </row>
    <row r="31" spans="1:3" x14ac:dyDescent="0.35">
      <c r="C31" s="215" t="s">
        <v>257</v>
      </c>
    </row>
    <row r="32" spans="1:3" x14ac:dyDescent="0.35">
      <c r="A32" s="122">
        <v>45807</v>
      </c>
      <c r="B32" s="215" t="s">
        <v>255</v>
      </c>
    </row>
    <row r="33" spans="1:3" x14ac:dyDescent="0.35">
      <c r="A33" s="122">
        <v>45838</v>
      </c>
      <c r="B33" s="216" t="s">
        <v>258</v>
      </c>
    </row>
    <row r="34" spans="1:3" x14ac:dyDescent="0.35">
      <c r="A34" s="122">
        <v>45866</v>
      </c>
      <c r="B34" s="218" t="s">
        <v>261</v>
      </c>
    </row>
    <row r="35" spans="1:3" x14ac:dyDescent="0.35">
      <c r="A35" s="122">
        <v>45869</v>
      </c>
      <c r="B35" s="218" t="s">
        <v>262</v>
      </c>
    </row>
    <row r="36" spans="1:3" x14ac:dyDescent="0.35">
      <c r="A36" s="122">
        <v>45898</v>
      </c>
      <c r="B36" s="219" t="s">
        <v>263</v>
      </c>
    </row>
    <row r="37" spans="1:3" x14ac:dyDescent="0.35">
      <c r="A37" s="122">
        <v>45923</v>
      </c>
      <c r="B37" s="221" t="s">
        <v>264</v>
      </c>
    </row>
    <row r="38" spans="1:3" x14ac:dyDescent="0.35">
      <c r="C38" s="221" t="s">
        <v>272</v>
      </c>
    </row>
    <row r="39" spans="1:3" x14ac:dyDescent="0.35">
      <c r="A39" s="122">
        <v>45926</v>
      </c>
      <c r="B39" s="237" t="s">
        <v>274</v>
      </c>
    </row>
    <row r="40" spans="1:3" x14ac:dyDescent="0.35">
      <c r="C40" s="237" t="s">
        <v>273</v>
      </c>
    </row>
    <row r="41" spans="1:3" x14ac:dyDescent="0.35">
      <c r="A41" s="122">
        <v>45965</v>
      </c>
      <c r="B41" s="239" t="s">
        <v>280</v>
      </c>
    </row>
  </sheetData>
  <hyperlinks>
    <hyperlink ref="B4" r:id="rId1" location="p8175666" xr:uid="{019DC925-B625-452C-9A98-682B81082E56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3</vt:i4>
      </vt:variant>
    </vt:vector>
  </HeadingPairs>
  <TitlesOfParts>
    <vt:vector size="12" baseType="lpstr">
      <vt:lpstr>WSJ</vt:lpstr>
      <vt:lpstr>Quotes</vt:lpstr>
      <vt:lpstr>Weights</vt:lpstr>
      <vt:lpstr>Prices</vt:lpstr>
      <vt:lpstr>Yields</vt:lpstr>
      <vt:lpstr>YldCrv</vt:lpstr>
      <vt:lpstr>CPI</vt:lpstr>
      <vt:lpstr>Instructions</vt:lpstr>
      <vt:lpstr>Notes</vt:lpstr>
      <vt:lpstr>Weights!Print_Area</vt:lpstr>
      <vt:lpstr>wsj_paste_here</vt:lpstr>
      <vt:lpstr>wsj_quotes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 Hinkley</dc:creator>
  <cp:lastModifiedBy>Robert Hinkley</cp:lastModifiedBy>
  <cp:lastPrinted>2024-12-29T21:17:54Z</cp:lastPrinted>
  <dcterms:created xsi:type="dcterms:W3CDTF">2024-12-26T21:36:03Z</dcterms:created>
  <dcterms:modified xsi:type="dcterms:W3CDTF">2025-11-07T21:56:45Z</dcterms:modified>
</cp:coreProperties>
</file>