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mc:AlternateContent xmlns:mc="http://schemas.openxmlformats.org/markup-compatibility/2006">
    <mc:Choice Requires="x15">
      <x15ac:absPath xmlns:x15ac="http://schemas.microsoft.com/office/spreadsheetml/2010/11/ac" url="https://d.docs.live.net/b76ad20971eac862/Documents/TIPSProject/downloads/docs/"/>
    </mc:Choice>
  </mc:AlternateContent>
  <xr:revisionPtr revIDLastSave="938" documentId="13_ncr:1_{9894D220-31D4-4E34-87A5-F59726A13EA5}" xr6:coauthVersionLast="47" xr6:coauthVersionMax="47" xr10:uidLastSave="{4021BD8E-9210-4E2C-985C-53EC2857D40C}"/>
  <bookViews>
    <workbookView xWindow="340" yWindow="290" windowWidth="19470" windowHeight="15650" xr2:uid="{15732F9D-D0B7-4863-AF12-12B5A6E00306}"/>
  </bookViews>
  <sheets>
    <sheet name="Main" sheetId="1" r:id="rId1"/>
    <sheet name="Calc" sheetId="2" r:id="rId2"/>
    <sheet name="Compare" sheetId="6" r:id="rId3"/>
    <sheet name="Wiki" sheetId="13" r:id="rId4"/>
    <sheet name="Tables" sheetId="5" r:id="rId5"/>
    <sheet name="Instructions" sheetId="4" r:id="rId6"/>
    <sheet name="Notes" sheetId="3" r:id="rId7"/>
  </sheets>
  <definedNames>
    <definedName name="combo_tbl">Tables!$D$1:$AC$20</definedName>
    <definedName name="joint_tbl">Tables!$Q$2:$AC$20</definedName>
    <definedName name="rate_tbl">Tables!$D$23:$P$33</definedName>
    <definedName name="single_tbl">Tables!$D$2:$P$20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6" l="1"/>
  <c r="D7" i="6"/>
  <c r="E7" i="6" s="1"/>
  <c r="F7" i="6" s="1"/>
  <c r="G7" i="6" s="1"/>
  <c r="H7" i="6" s="1"/>
  <c r="I7" i="6" s="1"/>
  <c r="J7" i="6" s="1"/>
  <c r="K7" i="6" s="1"/>
  <c r="C1" i="6"/>
  <c r="D1" i="6" s="1"/>
  <c r="E1" i="6" s="1"/>
  <c r="F1" i="6" s="1"/>
  <c r="G1" i="6" s="1"/>
  <c r="H1" i="6" s="1"/>
  <c r="I1" i="6" s="1"/>
  <c r="J1" i="6" s="1"/>
  <c r="K1" i="6" s="1"/>
  <c r="L1" i="6" s="1"/>
  <c r="G37" i="5"/>
  <c r="AB1" i="5"/>
  <c r="O1" i="5"/>
  <c r="C7" i="6"/>
  <c r="N5" i="6"/>
  <c r="W3" i="6"/>
  <c r="W6" i="6"/>
  <c r="W7" i="6" s="1"/>
  <c r="W8" i="6" s="1"/>
  <c r="W9" i="6" s="1"/>
  <c r="W10" i="6" s="1"/>
  <c r="W11" i="6" s="1"/>
  <c r="W12" i="6" s="1"/>
  <c r="W14" i="6" s="1"/>
  <c r="W15" i="6" s="1"/>
  <c r="W16" i="6" s="1"/>
  <c r="W17" i="6" s="1"/>
  <c r="W18" i="6" s="1"/>
  <c r="W19" i="6" s="1"/>
  <c r="W21" i="6" s="1"/>
  <c r="W22" i="6" s="1"/>
  <c r="W23" i="6" s="1"/>
  <c r="W24" i="6" s="1"/>
  <c r="W25" i="6" s="1"/>
  <c r="W26" i="6" s="1"/>
  <c r="W27" i="6" s="1"/>
  <c r="W28" i="6" s="1"/>
  <c r="W29" i="6" s="1"/>
  <c r="W30" i="6" s="1"/>
  <c r="W31" i="6" s="1"/>
  <c r="W32" i="6" s="1"/>
  <c r="W33" i="6" s="1"/>
  <c r="W34" i="6" s="1"/>
  <c r="W35" i="6" s="1"/>
  <c r="W36" i="6" s="1"/>
  <c r="W37" i="6" s="1"/>
  <c r="W38" i="6" s="1"/>
  <c r="W39" i="6" s="1"/>
  <c r="W40" i="6" s="1"/>
  <c r="W41" i="6" s="1"/>
  <c r="W42" i="6" s="1"/>
  <c r="W43" i="6" s="1"/>
  <c r="W44" i="6" s="1"/>
  <c r="W45" i="6" s="1"/>
  <c r="W46" i="6" s="1"/>
  <c r="W47" i="6" s="1"/>
  <c r="W48" i="6" s="1"/>
  <c r="W49" i="6" s="1"/>
  <c r="W50" i="6" s="1"/>
  <c r="W51" i="6" s="1"/>
  <c r="W52" i="6" s="1"/>
  <c r="W54" i="6" s="1"/>
  <c r="W5" i="6"/>
  <c r="N9" i="6" l="1"/>
  <c r="N8" i="6"/>
  <c r="N7" i="6"/>
  <c r="B13" i="6"/>
  <c r="B14" i="6"/>
  <c r="B15" i="6"/>
  <c r="M14" i="2"/>
  <c r="M15" i="2" s="1"/>
  <c r="B2" i="2"/>
  <c r="M4" i="2"/>
  <c r="M5" i="2" s="1"/>
  <c r="M6" i="2" s="1"/>
  <c r="M7" i="2" s="1"/>
  <c r="M8" i="2" s="1"/>
  <c r="M9" i="2" s="1"/>
  <c r="M10" i="2" s="1"/>
  <c r="M12" i="2" s="1"/>
  <c r="B3" i="2"/>
  <c r="AC1" i="5"/>
  <c r="AA1" i="5"/>
  <c r="Z1" i="5"/>
  <c r="Y1" i="5"/>
  <c r="X1" i="5"/>
  <c r="W1" i="5"/>
  <c r="V1" i="5"/>
  <c r="U1" i="5"/>
  <c r="T1" i="5"/>
  <c r="S1" i="5"/>
  <c r="R1" i="5"/>
  <c r="Q1" i="5"/>
  <c r="P1" i="5"/>
  <c r="N1" i="5"/>
  <c r="M1" i="5"/>
  <c r="L1" i="5"/>
  <c r="K1" i="5"/>
  <c r="J1" i="5"/>
  <c r="I1" i="5"/>
  <c r="H1" i="5"/>
  <c r="G1" i="5"/>
  <c r="F1" i="5"/>
  <c r="E1" i="5"/>
  <c r="D1" i="5"/>
  <c r="C4" i="6"/>
  <c r="D4" i="6" s="1"/>
  <c r="E4" i="6" s="1"/>
  <c r="F4" i="6" s="1"/>
  <c r="G4" i="6" s="1"/>
  <c r="C6" i="6"/>
  <c r="D6" i="6" s="1"/>
  <c r="E6" i="6" s="1"/>
  <c r="F6" i="6" s="1"/>
  <c r="B51" i="13"/>
  <c r="B53" i="13"/>
  <c r="B54" i="13"/>
  <c r="B55" i="13"/>
  <c r="B27" i="6"/>
  <c r="B10" i="2"/>
  <c r="B7" i="2"/>
  <c r="A19" i="2"/>
  <c r="A20" i="2" s="1"/>
  <c r="A21" i="2" s="1"/>
  <c r="B6" i="2"/>
  <c r="D4" i="13"/>
  <c r="B5" i="2"/>
  <c r="B1" i="2"/>
  <c r="B4" i="2"/>
  <c r="F37" i="5"/>
  <c r="H37" i="5" s="1"/>
  <c r="E23" i="13"/>
  <c r="E24" i="13"/>
  <c r="E25" i="13"/>
  <c r="E26" i="13"/>
  <c r="E27" i="13"/>
  <c r="G47" i="13"/>
  <c r="H47" i="13"/>
  <c r="I47" i="13"/>
  <c r="A69" i="13"/>
  <c r="D47" i="13"/>
  <c r="E47" i="13"/>
  <c r="F47" i="13"/>
  <c r="E28" i="13"/>
  <c r="F38" i="5"/>
  <c r="G38" i="5" s="1"/>
  <c r="F39" i="5"/>
  <c r="F40" i="5"/>
  <c r="F41" i="5"/>
  <c r="F42" i="5"/>
  <c r="F43" i="5"/>
  <c r="C13" i="6"/>
  <c r="B17" i="6"/>
  <c r="C17" i="6"/>
  <c r="C16" i="6"/>
  <c r="C15" i="6"/>
  <c r="C14" i="6"/>
  <c r="B19" i="6"/>
  <c r="B16" i="6"/>
  <c r="C18" i="6"/>
  <c r="C19" i="6"/>
  <c r="B18" i="6"/>
  <c r="B8" i="2"/>
  <c r="B9" i="2"/>
  <c r="G41" i="5" l="1"/>
  <c r="G43" i="5"/>
  <c r="G39" i="5"/>
  <c r="G42" i="5"/>
  <c r="G40" i="5"/>
  <c r="B10" i="6"/>
  <c r="N3" i="2"/>
  <c r="N2" i="2"/>
  <c r="B12" i="6"/>
  <c r="B11" i="6"/>
  <c r="E38" i="5"/>
  <c r="H38" i="5" s="1"/>
  <c r="G6" i="6"/>
  <c r="H6" i="6" s="1"/>
  <c r="I6" i="6" s="1"/>
  <c r="J6" i="6" s="1"/>
  <c r="K6" i="6" s="1"/>
  <c r="L6" i="6" s="1"/>
  <c r="N6" i="6"/>
  <c r="H4" i="6"/>
  <c r="I4" i="6" s="1"/>
  <c r="J4" i="6" s="1"/>
  <c r="K4" i="6" s="1"/>
  <c r="L4" i="6" s="1"/>
  <c r="N4" i="6"/>
  <c r="A22" i="6"/>
  <c r="A39" i="6"/>
  <c r="A24" i="6"/>
  <c r="A42" i="6"/>
  <c r="A37" i="6"/>
  <c r="A47" i="6"/>
  <c r="A41" i="6"/>
  <c r="B205" i="2"/>
  <c r="A10" i="1"/>
  <c r="A38" i="6"/>
  <c r="A45" i="6"/>
  <c r="A20" i="6"/>
  <c r="A46" i="6"/>
  <c r="A21" i="6"/>
  <c r="A25" i="6"/>
  <c r="A40" i="6"/>
  <c r="A23" i="6"/>
  <c r="A43" i="6"/>
  <c r="A44" i="6"/>
  <c r="A26" i="6"/>
  <c r="A36" i="6"/>
  <c r="A48" i="6"/>
  <c r="L12" i="2"/>
  <c r="U18" i="2" s="1"/>
  <c r="N4" i="2"/>
  <c r="B41" i="2"/>
  <c r="B49" i="2"/>
  <c r="B62" i="2"/>
  <c r="B71" i="2"/>
  <c r="B73" i="2"/>
  <c r="B36" i="2"/>
  <c r="D38" i="2"/>
  <c r="D95" i="2"/>
  <c r="B206" i="2"/>
  <c r="C10" i="2"/>
  <c r="A18" i="2" s="1"/>
  <c r="D20" i="2"/>
  <c r="D161" i="2"/>
  <c r="B21" i="2"/>
  <c r="B33" i="2"/>
  <c r="E22" i="2"/>
  <c r="N15" i="2"/>
  <c r="N14" i="2"/>
  <c r="N13" i="2"/>
  <c r="N12" i="2"/>
  <c r="N11" i="2"/>
  <c r="N10" i="2"/>
  <c r="N9" i="2"/>
  <c r="N8" i="2"/>
  <c r="N7" i="2"/>
  <c r="N6" i="2"/>
  <c r="N5" i="2"/>
  <c r="D61" i="2"/>
  <c r="D93" i="2"/>
  <c r="E39" i="2"/>
  <c r="D66" i="2"/>
  <c r="D103" i="2"/>
  <c r="E69" i="2"/>
  <c r="D106" i="2"/>
  <c r="D43" i="2"/>
  <c r="D108" i="2"/>
  <c r="D46" i="2"/>
  <c r="D114" i="2"/>
  <c r="L8" i="2"/>
  <c r="R18" i="2" s="1"/>
  <c r="D24" i="2"/>
  <c r="D77" i="2"/>
  <c r="D119" i="2"/>
  <c r="L10" i="2"/>
  <c r="W18" i="2" s="1"/>
  <c r="B25" i="2"/>
  <c r="D51" i="2"/>
  <c r="D79" i="2"/>
  <c r="B126" i="2"/>
  <c r="D28" i="2"/>
  <c r="B52" i="2"/>
  <c r="D81" i="2"/>
  <c r="B143" i="2"/>
  <c r="E30" i="2"/>
  <c r="E55" i="2"/>
  <c r="D83" i="2"/>
  <c r="D149" i="2"/>
  <c r="D32" i="2"/>
  <c r="B57" i="2"/>
  <c r="D85" i="2"/>
  <c r="B152" i="2"/>
  <c r="D59" i="2"/>
  <c r="D89" i="2"/>
  <c r="L11" i="2"/>
  <c r="V18" i="2" s="1"/>
  <c r="L6" i="2"/>
  <c r="L7" i="2"/>
  <c r="L9" i="2"/>
  <c r="B26" i="6"/>
  <c r="D27" i="13"/>
  <c r="E40" i="5"/>
  <c r="E43" i="5"/>
  <c r="D25" i="13"/>
  <c r="D24" i="13"/>
  <c r="C12" i="13"/>
  <c r="D23" i="13"/>
  <c r="E37" i="5"/>
  <c r="D28" i="13"/>
  <c r="D29" i="13" s="1"/>
  <c r="C11" i="13"/>
  <c r="E41" i="5"/>
  <c r="C10" i="13"/>
  <c r="D26" i="13"/>
  <c r="C13" i="13"/>
  <c r="C20" i="13" s="1"/>
  <c r="C14" i="13"/>
  <c r="C21" i="13" s="1"/>
  <c r="E39" i="5"/>
  <c r="E42" i="5"/>
  <c r="C9" i="13"/>
  <c r="B25" i="6"/>
  <c r="B21" i="6"/>
  <c r="B22" i="6"/>
  <c r="B24" i="6"/>
  <c r="B20" i="6"/>
  <c r="B23" i="6"/>
  <c r="C11" i="6"/>
  <c r="D35" i="2"/>
  <c r="D54" i="2"/>
  <c r="D75" i="2"/>
  <c r="D100" i="2"/>
  <c r="B140" i="2"/>
  <c r="D111" i="2"/>
  <c r="B157" i="2"/>
  <c r="E26" i="2"/>
  <c r="B44" i="2"/>
  <c r="B64" i="2"/>
  <c r="D87" i="2"/>
  <c r="D116" i="2"/>
  <c r="E166" i="2"/>
  <c r="B177" i="2"/>
  <c r="B29" i="2"/>
  <c r="E47" i="2"/>
  <c r="D68" i="2"/>
  <c r="D91" i="2"/>
  <c r="B122" i="2"/>
  <c r="B194" i="2"/>
  <c r="D129" i="2"/>
  <c r="D98" i="2"/>
  <c r="E134" i="2"/>
  <c r="B22" i="2"/>
  <c r="B26" i="2"/>
  <c r="B30" i="2"/>
  <c r="B34" i="2"/>
  <c r="B39" i="2"/>
  <c r="D44" i="2"/>
  <c r="D49" i="2"/>
  <c r="E53" i="2"/>
  <c r="B58" i="2"/>
  <c r="D64" i="2"/>
  <c r="B69" i="2"/>
  <c r="B74" i="2"/>
  <c r="B80" i="2"/>
  <c r="B86" i="2"/>
  <c r="B92" i="2"/>
  <c r="B99" i="2"/>
  <c r="B107" i="2"/>
  <c r="B115" i="2"/>
  <c r="B125" i="2"/>
  <c r="D137" i="2"/>
  <c r="B151" i="2"/>
  <c r="B165" i="2"/>
  <c r="B202" i="2"/>
  <c r="D19" i="2"/>
  <c r="D23" i="2"/>
  <c r="D27" i="2"/>
  <c r="D31" i="2"/>
  <c r="B35" i="2"/>
  <c r="D40" i="2"/>
  <c r="D45" i="2"/>
  <c r="E49" i="2"/>
  <c r="B54" i="2"/>
  <c r="B59" i="2"/>
  <c r="D65" i="2"/>
  <c r="D70" i="2"/>
  <c r="B75" i="2"/>
  <c r="B81" i="2"/>
  <c r="B87" i="2"/>
  <c r="B93" i="2"/>
  <c r="D101" i="2"/>
  <c r="D109" i="2"/>
  <c r="D117" i="2"/>
  <c r="D127" i="2"/>
  <c r="D141" i="2"/>
  <c r="D153" i="2"/>
  <c r="B167" i="2"/>
  <c r="D211" i="2"/>
  <c r="B19" i="2"/>
  <c r="B23" i="2"/>
  <c r="B27" i="2"/>
  <c r="B31" i="2"/>
  <c r="E35" i="2"/>
  <c r="B40" i="2"/>
  <c r="B45" i="2"/>
  <c r="D50" i="2"/>
  <c r="D55" i="2"/>
  <c r="D60" i="2"/>
  <c r="B65" i="2"/>
  <c r="B70" i="2"/>
  <c r="D76" i="2"/>
  <c r="D82" i="2"/>
  <c r="D88" i="2"/>
  <c r="D94" i="2"/>
  <c r="D102" i="2"/>
  <c r="D110" i="2"/>
  <c r="B118" i="2"/>
  <c r="B127" i="2"/>
  <c r="B141" i="2"/>
  <c r="B156" i="2"/>
  <c r="B168" i="2"/>
  <c r="E19" i="2"/>
  <c r="E23" i="2"/>
  <c r="E27" i="2"/>
  <c r="E31" i="2"/>
  <c r="D36" i="2"/>
  <c r="D41" i="2"/>
  <c r="E45" i="2"/>
  <c r="B50" i="2"/>
  <c r="B55" i="2"/>
  <c r="B60" i="2"/>
  <c r="E65" i="2"/>
  <c r="D71" i="2"/>
  <c r="B76" i="2"/>
  <c r="B82" i="2"/>
  <c r="B88" i="2"/>
  <c r="B94" i="2"/>
  <c r="B102" i="2"/>
  <c r="B110" i="2"/>
  <c r="E118" i="2"/>
  <c r="B128" i="2"/>
  <c r="E142" i="2"/>
  <c r="D157" i="2"/>
  <c r="D175" i="2"/>
  <c r="B20" i="2"/>
  <c r="B24" i="2"/>
  <c r="B28" i="2"/>
  <c r="B32" i="2"/>
  <c r="D37" i="2"/>
  <c r="E41" i="2"/>
  <c r="B46" i="2"/>
  <c r="B51" i="2"/>
  <c r="D56" i="2"/>
  <c r="B61" i="2"/>
  <c r="B66" i="2"/>
  <c r="D72" i="2"/>
  <c r="B77" i="2"/>
  <c r="B83" i="2"/>
  <c r="B89" i="2"/>
  <c r="B95" i="2"/>
  <c r="B103" i="2"/>
  <c r="B111" i="2"/>
  <c r="B120" i="2"/>
  <c r="B132" i="2"/>
  <c r="B144" i="2"/>
  <c r="E158" i="2"/>
  <c r="B178" i="2"/>
  <c r="E20" i="2"/>
  <c r="E24" i="2"/>
  <c r="E28" i="2"/>
  <c r="E32" i="2"/>
  <c r="B37" i="2"/>
  <c r="D42" i="2"/>
  <c r="D47" i="2"/>
  <c r="E51" i="2"/>
  <c r="B56" i="2"/>
  <c r="E61" i="2"/>
  <c r="D67" i="2"/>
  <c r="B72" i="2"/>
  <c r="D78" i="2"/>
  <c r="D84" i="2"/>
  <c r="D90" i="2"/>
  <c r="D96" i="2"/>
  <c r="D104" i="2"/>
  <c r="D112" i="2"/>
  <c r="D121" i="2"/>
  <c r="D133" i="2"/>
  <c r="D145" i="2"/>
  <c r="B159" i="2"/>
  <c r="B182" i="2"/>
  <c r="C19" i="2"/>
  <c r="D21" i="2"/>
  <c r="D25" i="2"/>
  <c r="D29" i="2"/>
  <c r="D33" i="2"/>
  <c r="E37" i="2"/>
  <c r="B42" i="2"/>
  <c r="B47" i="2"/>
  <c r="D52" i="2"/>
  <c r="D57" i="2"/>
  <c r="D62" i="2"/>
  <c r="B67" i="2"/>
  <c r="D73" i="2"/>
  <c r="B78" i="2"/>
  <c r="B84" i="2"/>
  <c r="B90" i="2"/>
  <c r="D97" i="2"/>
  <c r="D105" i="2"/>
  <c r="D113" i="2"/>
  <c r="B121" i="2"/>
  <c r="B133" i="2"/>
  <c r="B148" i="2"/>
  <c r="B160" i="2"/>
  <c r="D187" i="2"/>
  <c r="E218" i="2"/>
  <c r="E21" i="2"/>
  <c r="E25" i="2"/>
  <c r="E29" i="2"/>
  <c r="E33" i="2"/>
  <c r="B38" i="2"/>
  <c r="B43" i="2"/>
  <c r="D48" i="2"/>
  <c r="D53" i="2"/>
  <c r="E57" i="2"/>
  <c r="D63" i="2"/>
  <c r="B68" i="2"/>
  <c r="E73" i="2"/>
  <c r="B79" i="2"/>
  <c r="B85" i="2"/>
  <c r="B91" i="2"/>
  <c r="B98" i="2"/>
  <c r="B106" i="2"/>
  <c r="B114" i="2"/>
  <c r="B123" i="2"/>
  <c r="B135" i="2"/>
  <c r="B149" i="2"/>
  <c r="B164" i="2"/>
  <c r="D199" i="2"/>
  <c r="D22" i="2"/>
  <c r="D26" i="2"/>
  <c r="D30" i="2"/>
  <c r="D34" i="2"/>
  <c r="D39" i="2"/>
  <c r="E43" i="2"/>
  <c r="B48" i="2"/>
  <c r="B53" i="2"/>
  <c r="D58" i="2"/>
  <c r="B63" i="2"/>
  <c r="D69" i="2"/>
  <c r="D74" i="2"/>
  <c r="D80" i="2"/>
  <c r="D86" i="2"/>
  <c r="D92" i="2"/>
  <c r="D99" i="2"/>
  <c r="D107" i="2"/>
  <c r="D115" i="2"/>
  <c r="D125" i="2"/>
  <c r="B136" i="2"/>
  <c r="E150" i="2"/>
  <c r="D165" i="2"/>
  <c r="B201" i="2"/>
  <c r="C20" i="2"/>
  <c r="E77" i="2"/>
  <c r="E81" i="2"/>
  <c r="E85" i="2"/>
  <c r="E89" i="2"/>
  <c r="E93" i="2"/>
  <c r="E97" i="2"/>
  <c r="E101" i="2"/>
  <c r="E105" i="2"/>
  <c r="E109" i="2"/>
  <c r="E113" i="2"/>
  <c r="E34" i="2"/>
  <c r="E38" i="2"/>
  <c r="E42" i="2"/>
  <c r="E46" i="2"/>
  <c r="E50" i="2"/>
  <c r="E54" i="2"/>
  <c r="E58" i="2"/>
  <c r="E62" i="2"/>
  <c r="E66" i="2"/>
  <c r="E70" i="2"/>
  <c r="E74" i="2"/>
  <c r="E78" i="2"/>
  <c r="E82" i="2"/>
  <c r="E86" i="2"/>
  <c r="E90" i="2"/>
  <c r="E94" i="2"/>
  <c r="E98" i="2"/>
  <c r="E102" i="2"/>
  <c r="E106" i="2"/>
  <c r="E110" i="2"/>
  <c r="E114" i="2"/>
  <c r="B119" i="2"/>
  <c r="E126" i="2"/>
  <c r="B134" i="2"/>
  <c r="B142" i="2"/>
  <c r="B150" i="2"/>
  <c r="B158" i="2"/>
  <c r="B166" i="2"/>
  <c r="B181" i="2"/>
  <c r="E183" i="2"/>
  <c r="E207" i="2"/>
  <c r="E219" i="2"/>
  <c r="E59" i="2"/>
  <c r="E63" i="2"/>
  <c r="E67" i="2"/>
  <c r="E71" i="2"/>
  <c r="E75" i="2"/>
  <c r="E79" i="2"/>
  <c r="E83" i="2"/>
  <c r="E87" i="2"/>
  <c r="E91" i="2"/>
  <c r="E95" i="2"/>
  <c r="E99" i="2"/>
  <c r="E103" i="2"/>
  <c r="E107" i="2"/>
  <c r="E111" i="2"/>
  <c r="E115" i="2"/>
  <c r="D169" i="2"/>
  <c r="B189" i="2"/>
  <c r="B213" i="2"/>
  <c r="B96" i="2"/>
  <c r="B100" i="2"/>
  <c r="B104" i="2"/>
  <c r="B108" i="2"/>
  <c r="B112" i="2"/>
  <c r="B116" i="2"/>
  <c r="E122" i="2"/>
  <c r="B129" i="2"/>
  <c r="B137" i="2"/>
  <c r="B145" i="2"/>
  <c r="B153" i="2"/>
  <c r="B161" i="2"/>
  <c r="B169" i="2"/>
  <c r="B190" i="2"/>
  <c r="B214" i="2"/>
  <c r="E36" i="2"/>
  <c r="E40" i="2"/>
  <c r="E44" i="2"/>
  <c r="E48" i="2"/>
  <c r="E52" i="2"/>
  <c r="E56" i="2"/>
  <c r="E60" i="2"/>
  <c r="E64" i="2"/>
  <c r="E68" i="2"/>
  <c r="E72" i="2"/>
  <c r="E76" i="2"/>
  <c r="E80" i="2"/>
  <c r="E84" i="2"/>
  <c r="E88" i="2"/>
  <c r="E92" i="2"/>
  <c r="E96" i="2"/>
  <c r="E100" i="2"/>
  <c r="E104" i="2"/>
  <c r="E108" i="2"/>
  <c r="E112" i="2"/>
  <c r="E116" i="2"/>
  <c r="D123" i="2"/>
  <c r="B130" i="2"/>
  <c r="B138" i="2"/>
  <c r="B146" i="2"/>
  <c r="B154" i="2"/>
  <c r="B162" i="2"/>
  <c r="B170" i="2"/>
  <c r="B193" i="2"/>
  <c r="B217" i="2"/>
  <c r="E130" i="2"/>
  <c r="E138" i="2"/>
  <c r="E146" i="2"/>
  <c r="E154" i="2"/>
  <c r="E162" i="2"/>
  <c r="E170" i="2"/>
  <c r="B97" i="2"/>
  <c r="B101" i="2"/>
  <c r="B105" i="2"/>
  <c r="B109" i="2"/>
  <c r="B113" i="2"/>
  <c r="B117" i="2"/>
  <c r="B124" i="2"/>
  <c r="B131" i="2"/>
  <c r="B139" i="2"/>
  <c r="B147" i="2"/>
  <c r="B155" i="2"/>
  <c r="B163" i="2"/>
  <c r="E171" i="2"/>
  <c r="E195" i="2"/>
  <c r="E119" i="2"/>
  <c r="E123" i="2"/>
  <c r="E127" i="2"/>
  <c r="E131" i="2"/>
  <c r="E135" i="2"/>
  <c r="E139" i="2"/>
  <c r="E143" i="2"/>
  <c r="E147" i="2"/>
  <c r="E151" i="2"/>
  <c r="E155" i="2"/>
  <c r="E159" i="2"/>
  <c r="E163" i="2"/>
  <c r="E167" i="2"/>
  <c r="B173" i="2"/>
  <c r="B185" i="2"/>
  <c r="B197" i="2"/>
  <c r="B209" i="2"/>
  <c r="D120" i="2"/>
  <c r="D124" i="2"/>
  <c r="D128" i="2"/>
  <c r="D132" i="2"/>
  <c r="D136" i="2"/>
  <c r="D140" i="2"/>
  <c r="D144" i="2"/>
  <c r="D148" i="2"/>
  <c r="D152" i="2"/>
  <c r="D156" i="2"/>
  <c r="D160" i="2"/>
  <c r="D164" i="2"/>
  <c r="D168" i="2"/>
  <c r="B174" i="2"/>
  <c r="B186" i="2"/>
  <c r="B198" i="2"/>
  <c r="B210" i="2"/>
  <c r="E120" i="2"/>
  <c r="E124" i="2"/>
  <c r="E128" i="2"/>
  <c r="E132" i="2"/>
  <c r="E136" i="2"/>
  <c r="E140" i="2"/>
  <c r="E144" i="2"/>
  <c r="E148" i="2"/>
  <c r="E152" i="2"/>
  <c r="E156" i="2"/>
  <c r="E160" i="2"/>
  <c r="E164" i="2"/>
  <c r="E168" i="2"/>
  <c r="E175" i="2"/>
  <c r="E187" i="2"/>
  <c r="E199" i="2"/>
  <c r="E211" i="2"/>
  <c r="E117" i="2"/>
  <c r="E121" i="2"/>
  <c r="E125" i="2"/>
  <c r="E129" i="2"/>
  <c r="E133" i="2"/>
  <c r="E137" i="2"/>
  <c r="E141" i="2"/>
  <c r="E145" i="2"/>
  <c r="E149" i="2"/>
  <c r="E153" i="2"/>
  <c r="E157" i="2"/>
  <c r="E161" i="2"/>
  <c r="E165" i="2"/>
  <c r="E169" i="2"/>
  <c r="D179" i="2"/>
  <c r="D191" i="2"/>
  <c r="D203" i="2"/>
  <c r="D215" i="2"/>
  <c r="D118" i="2"/>
  <c r="D122" i="2"/>
  <c r="D126" i="2"/>
  <c r="D130" i="2"/>
  <c r="D134" i="2"/>
  <c r="D138" i="2"/>
  <c r="D142" i="2"/>
  <c r="D146" i="2"/>
  <c r="D150" i="2"/>
  <c r="D154" i="2"/>
  <c r="D158" i="2"/>
  <c r="D162" i="2"/>
  <c r="D166" i="2"/>
  <c r="D170" i="2"/>
  <c r="E179" i="2"/>
  <c r="E191" i="2"/>
  <c r="E203" i="2"/>
  <c r="E215" i="2"/>
  <c r="D131" i="2"/>
  <c r="D135" i="2"/>
  <c r="D139" i="2"/>
  <c r="D143" i="2"/>
  <c r="D147" i="2"/>
  <c r="D151" i="2"/>
  <c r="D155" i="2"/>
  <c r="D159" i="2"/>
  <c r="D163" i="2"/>
  <c r="D167" i="2"/>
  <c r="D171" i="2"/>
  <c r="D183" i="2"/>
  <c r="D195" i="2"/>
  <c r="D207" i="2"/>
  <c r="C20" i="6"/>
  <c r="C21" i="6"/>
  <c r="C26" i="6"/>
  <c r="C22" i="6"/>
  <c r="C23" i="6"/>
  <c r="C25" i="6"/>
  <c r="C24" i="6"/>
  <c r="C10" i="6"/>
  <c r="C12" i="6"/>
  <c r="E13" i="6"/>
  <c r="D12" i="6"/>
  <c r="D16" i="6"/>
  <c r="D19" i="6"/>
  <c r="D18" i="6"/>
  <c r="D10" i="6"/>
  <c r="D24" i="6"/>
  <c r="D15" i="6"/>
  <c r="D23" i="6"/>
  <c r="D25" i="6"/>
  <c r="D22" i="6"/>
  <c r="D14" i="6"/>
  <c r="D21" i="6"/>
  <c r="D26" i="6"/>
  <c r="D20" i="6"/>
  <c r="D13" i="6"/>
  <c r="D17" i="6"/>
  <c r="D11" i="6"/>
  <c r="B50" i="6"/>
  <c r="C27" i="6"/>
  <c r="E21" i="6"/>
  <c r="D27" i="6"/>
  <c r="C50" i="6"/>
  <c r="E174" i="2"/>
  <c r="E178" i="2"/>
  <c r="E182" i="2"/>
  <c r="E186" i="2"/>
  <c r="E190" i="2"/>
  <c r="E194" i="2"/>
  <c r="E198" i="2"/>
  <c r="E202" i="2"/>
  <c r="E206" i="2"/>
  <c r="E210" i="2"/>
  <c r="E214" i="2"/>
  <c r="B171" i="2"/>
  <c r="B175" i="2"/>
  <c r="B179" i="2"/>
  <c r="B183" i="2"/>
  <c r="B187" i="2"/>
  <c r="B191" i="2"/>
  <c r="B195" i="2"/>
  <c r="B199" i="2"/>
  <c r="B203" i="2"/>
  <c r="B207" i="2"/>
  <c r="B211" i="2"/>
  <c r="B215" i="2"/>
  <c r="D219" i="2"/>
  <c r="D172" i="2"/>
  <c r="D176" i="2"/>
  <c r="D180" i="2"/>
  <c r="D184" i="2"/>
  <c r="D188" i="2"/>
  <c r="D192" i="2"/>
  <c r="D196" i="2"/>
  <c r="D200" i="2"/>
  <c r="D204" i="2"/>
  <c r="D208" i="2"/>
  <c r="D212" i="2"/>
  <c r="D216" i="2"/>
  <c r="B172" i="2"/>
  <c r="B176" i="2"/>
  <c r="B180" i="2"/>
  <c r="B184" i="2"/>
  <c r="B188" i="2"/>
  <c r="B192" i="2"/>
  <c r="B196" i="2"/>
  <c r="B200" i="2"/>
  <c r="B204" i="2"/>
  <c r="B208" i="2"/>
  <c r="B212" i="2"/>
  <c r="B216" i="2"/>
  <c r="E172" i="2"/>
  <c r="E176" i="2"/>
  <c r="E180" i="2"/>
  <c r="E184" i="2"/>
  <c r="E188" i="2"/>
  <c r="E192" i="2"/>
  <c r="E196" i="2"/>
  <c r="E200" i="2"/>
  <c r="E204" i="2"/>
  <c r="E208" i="2"/>
  <c r="E212" i="2"/>
  <c r="E216" i="2"/>
  <c r="B219" i="2"/>
  <c r="D173" i="2"/>
  <c r="D177" i="2"/>
  <c r="D181" i="2"/>
  <c r="D185" i="2"/>
  <c r="D189" i="2"/>
  <c r="D193" i="2"/>
  <c r="D197" i="2"/>
  <c r="D201" i="2"/>
  <c r="D205" i="2"/>
  <c r="D209" i="2"/>
  <c r="D213" i="2"/>
  <c r="D217" i="2"/>
  <c r="E173" i="2"/>
  <c r="E177" i="2"/>
  <c r="E181" i="2"/>
  <c r="E185" i="2"/>
  <c r="E189" i="2"/>
  <c r="E193" i="2"/>
  <c r="E197" i="2"/>
  <c r="E201" i="2"/>
  <c r="E205" i="2"/>
  <c r="E209" i="2"/>
  <c r="E213" i="2"/>
  <c r="E217" i="2"/>
  <c r="D174" i="2"/>
  <c r="D178" i="2"/>
  <c r="D182" i="2"/>
  <c r="D186" i="2"/>
  <c r="D190" i="2"/>
  <c r="D194" i="2"/>
  <c r="D198" i="2"/>
  <c r="D202" i="2"/>
  <c r="D206" i="2"/>
  <c r="D210" i="2"/>
  <c r="D214" i="2"/>
  <c r="D218" i="2"/>
  <c r="A22" i="2"/>
  <c r="C21" i="2"/>
  <c r="B218" i="2"/>
  <c r="B28" i="6" l="1"/>
  <c r="B29" i="6" s="1"/>
  <c r="AB18" i="2"/>
  <c r="E25" i="6"/>
  <c r="E14" i="6"/>
  <c r="E15" i="6"/>
  <c r="H39" i="5"/>
  <c r="H40" i="5" s="1"/>
  <c r="H41" i="5" s="1"/>
  <c r="H42" i="5" s="1"/>
  <c r="H43" i="5" s="1"/>
  <c r="D35" i="5" s="1"/>
  <c r="E16" i="6"/>
  <c r="E20" i="6"/>
  <c r="E18" i="6"/>
  <c r="E17" i="6"/>
  <c r="E22" i="6"/>
  <c r="E11" i="6"/>
  <c r="E23" i="6"/>
  <c r="E12" i="6"/>
  <c r="E24" i="6"/>
  <c r="E26" i="6"/>
  <c r="E10" i="6"/>
  <c r="F14" i="6"/>
  <c r="E19" i="6"/>
  <c r="G11" i="1"/>
  <c r="Y18" i="2"/>
  <c r="P18" i="2"/>
  <c r="T18" i="2"/>
  <c r="AA18" i="2"/>
  <c r="S18" i="2"/>
  <c r="Z18" i="2"/>
  <c r="Q18" i="2"/>
  <c r="X18" i="2"/>
  <c r="F28" i="13"/>
  <c r="C28" i="13" s="1"/>
  <c r="C19" i="13"/>
  <c r="C22" i="13"/>
  <c r="B52" i="13"/>
  <c r="C18" i="13"/>
  <c r="F25" i="13"/>
  <c r="G25" i="13" s="1"/>
  <c r="F26" i="13"/>
  <c r="G26" i="13" s="1"/>
  <c r="F24" i="13"/>
  <c r="G24" i="13" s="1"/>
  <c r="F27" i="13"/>
  <c r="G27" i="13" s="1"/>
  <c r="F23" i="13"/>
  <c r="G23" i="13" s="1"/>
  <c r="F29" i="13"/>
  <c r="G29" i="13" s="1"/>
  <c r="F19" i="2"/>
  <c r="G19" i="2" s="1"/>
  <c r="H19" i="2" s="1"/>
  <c r="I19" i="2" s="1"/>
  <c r="K19" i="2" s="1"/>
  <c r="L19" i="2" s="1"/>
  <c r="F20" i="2"/>
  <c r="G20" i="2" s="1"/>
  <c r="H20" i="2" s="1"/>
  <c r="I20" i="2" s="1"/>
  <c r="K20" i="2" s="1"/>
  <c r="F21" i="2"/>
  <c r="G21" i="2" s="1"/>
  <c r="H21" i="2" s="1"/>
  <c r="I21" i="2" s="1"/>
  <c r="D28" i="6"/>
  <c r="D29" i="6" s="1"/>
  <c r="D30" i="6" s="1"/>
  <c r="D31" i="6" s="1"/>
  <c r="D32" i="6" s="1"/>
  <c r="C28" i="6"/>
  <c r="C29" i="6" s="1"/>
  <c r="D50" i="6"/>
  <c r="E27" i="6"/>
  <c r="C22" i="2"/>
  <c r="F22" i="2" s="1"/>
  <c r="G22" i="2" s="1"/>
  <c r="A23" i="2"/>
  <c r="B30" i="6" l="1"/>
  <c r="B31" i="6" s="1"/>
  <c r="F15" i="6"/>
  <c r="F11" i="6"/>
  <c r="F24" i="6"/>
  <c r="F16" i="6"/>
  <c r="F12" i="6"/>
  <c r="E28" i="6"/>
  <c r="F17" i="6"/>
  <c r="F23" i="6"/>
  <c r="F10" i="6"/>
  <c r="F19" i="6"/>
  <c r="F21" i="6"/>
  <c r="F20" i="6"/>
  <c r="F26" i="6"/>
  <c r="F25" i="6"/>
  <c r="F22" i="6"/>
  <c r="F13" i="6"/>
  <c r="F18" i="6"/>
  <c r="G13" i="6"/>
  <c r="L20" i="2"/>
  <c r="M20" i="2" s="1"/>
  <c r="N20" i="2" s="1"/>
  <c r="U20" i="2" s="1"/>
  <c r="AB20" i="2" s="1"/>
  <c r="G28" i="13"/>
  <c r="H28" i="13" s="1"/>
  <c r="H24" i="13"/>
  <c r="C27" i="13"/>
  <c r="H27" i="13"/>
  <c r="C29" i="13"/>
  <c r="H23" i="13"/>
  <c r="C24" i="13"/>
  <c r="C26" i="13"/>
  <c r="H26" i="13"/>
  <c r="H25" i="13"/>
  <c r="C25" i="13"/>
  <c r="F50" i="6"/>
  <c r="C30" i="6"/>
  <c r="C51" i="6" s="1"/>
  <c r="C53" i="6" s="1"/>
  <c r="H29" i="13"/>
  <c r="G23" i="6"/>
  <c r="G22" i="6"/>
  <c r="G26" i="6"/>
  <c r="G12" i="6"/>
  <c r="G10" i="6"/>
  <c r="E50" i="6"/>
  <c r="F27" i="6"/>
  <c r="C23" i="2"/>
  <c r="A24" i="2"/>
  <c r="J20" i="2"/>
  <c r="K21" i="2"/>
  <c r="H22" i="2"/>
  <c r="I22" i="2" s="1"/>
  <c r="J19" i="2"/>
  <c r="M19" i="2"/>
  <c r="D33" i="6"/>
  <c r="C23" i="13"/>
  <c r="B32" i="6" l="1"/>
  <c r="E29" i="6"/>
  <c r="E30" i="6" s="1"/>
  <c r="G19" i="6"/>
  <c r="G20" i="6"/>
  <c r="G25" i="6"/>
  <c r="G14" i="6"/>
  <c r="G21" i="6"/>
  <c r="H24" i="6"/>
  <c r="G18" i="6"/>
  <c r="G16" i="6"/>
  <c r="G15" i="6"/>
  <c r="G11" i="6"/>
  <c r="G17" i="6"/>
  <c r="G24" i="6"/>
  <c r="L21" i="2"/>
  <c r="M21" i="2" s="1"/>
  <c r="B38" i="13"/>
  <c r="B39" i="13"/>
  <c r="B35" i="13"/>
  <c r="B34" i="13"/>
  <c r="B36" i="13"/>
  <c r="B33" i="13"/>
  <c r="B37" i="13"/>
  <c r="B40" i="13"/>
  <c r="B44" i="13"/>
  <c r="B41" i="13"/>
  <c r="B42" i="13"/>
  <c r="B43" i="13"/>
  <c r="B51" i="6"/>
  <c r="G27" i="6"/>
  <c r="G50" i="6"/>
  <c r="C31" i="6"/>
  <c r="C32" i="6" s="1"/>
  <c r="F28" i="6"/>
  <c r="H20" i="6"/>
  <c r="H12" i="6"/>
  <c r="H11" i="6"/>
  <c r="H21" i="6"/>
  <c r="H13" i="6"/>
  <c r="H16" i="6"/>
  <c r="H14" i="6"/>
  <c r="H10" i="6"/>
  <c r="H26" i="6"/>
  <c r="H25" i="6"/>
  <c r="H22" i="6"/>
  <c r="O20" i="2"/>
  <c r="V20" i="2"/>
  <c r="J21" i="2"/>
  <c r="K22" i="2"/>
  <c r="L22" i="2" s="1"/>
  <c r="C24" i="2"/>
  <c r="A25" i="2"/>
  <c r="F23" i="2"/>
  <c r="G23" i="2" s="1"/>
  <c r="H23" i="2" s="1"/>
  <c r="I23" i="2" s="1"/>
  <c r="J22" i="2" s="1"/>
  <c r="N19" i="2"/>
  <c r="U19" i="2" s="1"/>
  <c r="AB19" i="2" s="1"/>
  <c r="D34" i="6"/>
  <c r="D35" i="6" s="1"/>
  <c r="I25" i="6" l="1"/>
  <c r="H15" i="6"/>
  <c r="H17" i="6"/>
  <c r="H19" i="6"/>
  <c r="H23" i="6"/>
  <c r="H18" i="6"/>
  <c r="B53" i="6"/>
  <c r="G28" i="6"/>
  <c r="N21" i="2"/>
  <c r="O21" i="2" s="1"/>
  <c r="P21" i="2" s="1"/>
  <c r="W21" i="2" s="1"/>
  <c r="H27" i="6"/>
  <c r="H28" i="6" s="1"/>
  <c r="H29" i="6" s="1"/>
  <c r="H30" i="6" s="1"/>
  <c r="I23" i="6"/>
  <c r="I24" i="6"/>
  <c r="L44" i="13"/>
  <c r="L43" i="13"/>
  <c r="B33" i="6"/>
  <c r="F29" i="6"/>
  <c r="I13" i="6"/>
  <c r="I17" i="6"/>
  <c r="I26" i="6"/>
  <c r="E31" i="6"/>
  <c r="E32" i="6" s="1"/>
  <c r="D51" i="6"/>
  <c r="D41" i="6"/>
  <c r="D48" i="6" s="1"/>
  <c r="C33" i="6"/>
  <c r="P20" i="2"/>
  <c r="W20" i="2" s="1"/>
  <c r="O19" i="2"/>
  <c r="P19" i="2" s="1"/>
  <c r="W19" i="2" s="1"/>
  <c r="K23" i="2"/>
  <c r="L23" i="2" s="1"/>
  <c r="A26" i="2"/>
  <c r="C25" i="2"/>
  <c r="F24" i="2"/>
  <c r="G24" i="2" s="1"/>
  <c r="M22" i="2"/>
  <c r="V19" i="2"/>
  <c r="D36" i="6"/>
  <c r="D43" i="6" s="1"/>
  <c r="L35" i="13"/>
  <c r="L40" i="13"/>
  <c r="L34" i="13"/>
  <c r="L41" i="13"/>
  <c r="L38" i="13"/>
  <c r="L33" i="13"/>
  <c r="L42" i="13"/>
  <c r="L39" i="13"/>
  <c r="L36" i="13"/>
  <c r="L37" i="13"/>
  <c r="C43" i="13"/>
  <c r="C39" i="13"/>
  <c r="C33" i="13"/>
  <c r="C38" i="13"/>
  <c r="C34" i="13"/>
  <c r="C41" i="13"/>
  <c r="C36" i="13"/>
  <c r="C37" i="13"/>
  <c r="C40" i="13"/>
  <c r="C35" i="13"/>
  <c r="C42" i="13"/>
  <c r="D35" i="13"/>
  <c r="E35" i="13" s="1"/>
  <c r="F35" i="13" s="1"/>
  <c r="G35" i="13" s="1"/>
  <c r="J36" i="13"/>
  <c r="K34" i="13"/>
  <c r="K33" i="13"/>
  <c r="K44" i="13"/>
  <c r="J44" i="13"/>
  <c r="D44" i="13"/>
  <c r="E44" i="13" s="1"/>
  <c r="F44" i="13" s="1"/>
  <c r="G44" i="13" s="1"/>
  <c r="H44" i="13" s="1"/>
  <c r="D43" i="13"/>
  <c r="E43" i="13" s="1"/>
  <c r="F43" i="13" s="1"/>
  <c r="G43" i="13" s="1"/>
  <c r="H43" i="13" s="1"/>
  <c r="K43" i="13"/>
  <c r="J43" i="13"/>
  <c r="D42" i="13"/>
  <c r="E42" i="13" s="1"/>
  <c r="F42" i="13" s="1"/>
  <c r="G42" i="13" s="1"/>
  <c r="H42" i="13" s="1"/>
  <c r="J39" i="13"/>
  <c r="D39" i="13"/>
  <c r="E39" i="13" s="1"/>
  <c r="K39" i="13"/>
  <c r="D33" i="13"/>
  <c r="E33" i="13" s="1"/>
  <c r="F33" i="13" s="1"/>
  <c r="K42" i="13"/>
  <c r="K38" i="13"/>
  <c r="J41" i="13"/>
  <c r="J42" i="13"/>
  <c r="D38" i="13"/>
  <c r="E38" i="13" s="1"/>
  <c r="F38" i="13" s="1"/>
  <c r="D41" i="13"/>
  <c r="E41" i="13" s="1"/>
  <c r="F41" i="13" s="1"/>
  <c r="G41" i="13" s="1"/>
  <c r="H41" i="13" s="1"/>
  <c r="K36" i="13"/>
  <c r="J38" i="13"/>
  <c r="D36" i="13"/>
  <c r="E36" i="13" s="1"/>
  <c r="F36" i="13" s="1"/>
  <c r="G36" i="13" s="1"/>
  <c r="K35" i="13"/>
  <c r="K37" i="13"/>
  <c r="D34" i="13"/>
  <c r="E34" i="13" s="1"/>
  <c r="F34" i="13" s="1"/>
  <c r="G34" i="13" s="1"/>
  <c r="J35" i="13"/>
  <c r="J33" i="13"/>
  <c r="J37" i="13"/>
  <c r="J34" i="13"/>
  <c r="D40" i="13"/>
  <c r="E40" i="13" s="1"/>
  <c r="D37" i="13"/>
  <c r="E37" i="13" s="1"/>
  <c r="J40" i="13"/>
  <c r="K40" i="13"/>
  <c r="K41" i="13"/>
  <c r="I20" i="6" l="1"/>
  <c r="I12" i="6"/>
  <c r="I15" i="6"/>
  <c r="I22" i="6"/>
  <c r="I11" i="6"/>
  <c r="I18" i="6"/>
  <c r="I21" i="6"/>
  <c r="I19" i="6"/>
  <c r="I16" i="6"/>
  <c r="I10" i="6"/>
  <c r="I14" i="6"/>
  <c r="G29" i="6"/>
  <c r="U21" i="2"/>
  <c r="AB21" i="2" s="1"/>
  <c r="Q21" i="2"/>
  <c r="X21" i="2" s="1"/>
  <c r="J10" i="6"/>
  <c r="I44" i="13"/>
  <c r="M44" i="13"/>
  <c r="N44" i="13" s="1"/>
  <c r="I42" i="13"/>
  <c r="M42" i="13"/>
  <c r="N42" i="13" s="1"/>
  <c r="I43" i="13"/>
  <c r="M43" i="13"/>
  <c r="N43" i="13" s="1"/>
  <c r="I41" i="13"/>
  <c r="M41" i="13"/>
  <c r="N41" i="13" s="1"/>
  <c r="I27" i="6"/>
  <c r="H50" i="6"/>
  <c r="F30" i="6"/>
  <c r="B34" i="6"/>
  <c r="H31" i="6"/>
  <c r="J21" i="6"/>
  <c r="J12" i="6"/>
  <c r="J23" i="6"/>
  <c r="J24" i="6"/>
  <c r="J11" i="6"/>
  <c r="J26" i="6"/>
  <c r="J22" i="6"/>
  <c r="J25" i="6"/>
  <c r="J20" i="6"/>
  <c r="J13" i="6"/>
  <c r="J17" i="6"/>
  <c r="J14" i="6"/>
  <c r="J18" i="6"/>
  <c r="J15" i="6"/>
  <c r="J19" i="6"/>
  <c r="J16" i="6"/>
  <c r="C34" i="6"/>
  <c r="C41" i="6" s="1"/>
  <c r="D53" i="6"/>
  <c r="D42" i="6"/>
  <c r="Q20" i="2"/>
  <c r="X20" i="2" s="1"/>
  <c r="N22" i="2"/>
  <c r="U22" i="2" s="1"/>
  <c r="AB22" i="2" s="1"/>
  <c r="H24" i="2"/>
  <c r="I24" i="2" s="1"/>
  <c r="F25" i="2"/>
  <c r="G25" i="2" s="1"/>
  <c r="H25" i="2" s="1"/>
  <c r="I25" i="2" s="1"/>
  <c r="A27" i="2"/>
  <c r="C26" i="2"/>
  <c r="M23" i="2"/>
  <c r="Q19" i="2"/>
  <c r="D37" i="6"/>
  <c r="F37" i="13"/>
  <c r="H36" i="13"/>
  <c r="H34" i="13"/>
  <c r="H35" i="13"/>
  <c r="F40" i="13"/>
  <c r="G40" i="13" s="1"/>
  <c r="G38" i="13"/>
  <c r="G33" i="13"/>
  <c r="F39" i="13"/>
  <c r="B67" i="13" l="1"/>
  <c r="I28" i="6"/>
  <c r="I29" i="6" s="1"/>
  <c r="I30" i="6" s="1"/>
  <c r="H51" i="6" s="1"/>
  <c r="H53" i="6" s="1"/>
  <c r="G30" i="6"/>
  <c r="F51" i="6" s="1"/>
  <c r="F53" i="6" s="1"/>
  <c r="V21" i="2"/>
  <c r="R21" i="2"/>
  <c r="Y21" i="2" s="1"/>
  <c r="H32" i="6"/>
  <c r="H33" i="6" s="1"/>
  <c r="K24" i="6"/>
  <c r="K25" i="6"/>
  <c r="K21" i="6"/>
  <c r="K26" i="6"/>
  <c r="K20" i="6"/>
  <c r="K12" i="6"/>
  <c r="B66" i="13"/>
  <c r="I35" i="13"/>
  <c r="M35" i="13"/>
  <c r="N35" i="13" s="1"/>
  <c r="I36" i="13"/>
  <c r="M36" i="13"/>
  <c r="N36" i="13" s="1"/>
  <c r="I34" i="13"/>
  <c r="M34" i="13"/>
  <c r="N34" i="13" s="1"/>
  <c r="I50" i="6"/>
  <c r="J27" i="6"/>
  <c r="J28" i="6" s="1"/>
  <c r="R20" i="2"/>
  <c r="Y20" i="2" s="1"/>
  <c r="V22" i="2"/>
  <c r="B35" i="6"/>
  <c r="B41" i="6"/>
  <c r="F31" i="6"/>
  <c r="E51" i="6"/>
  <c r="K23" i="6"/>
  <c r="K16" i="6"/>
  <c r="K13" i="6"/>
  <c r="K17" i="6"/>
  <c r="K14" i="6"/>
  <c r="K18" i="6"/>
  <c r="K15" i="6"/>
  <c r="K19" i="6"/>
  <c r="K11" i="6"/>
  <c r="K22" i="6"/>
  <c r="K10" i="6"/>
  <c r="C35" i="6"/>
  <c r="C36" i="6" s="1"/>
  <c r="C43" i="6" s="1"/>
  <c r="C48" i="6"/>
  <c r="C42" i="6"/>
  <c r="B84" i="13"/>
  <c r="B65" i="13"/>
  <c r="B64" i="13"/>
  <c r="E33" i="6"/>
  <c r="O22" i="2"/>
  <c r="P22" i="2" s="1"/>
  <c r="W22" i="2" s="1"/>
  <c r="J24" i="2"/>
  <c r="N23" i="2"/>
  <c r="O23" i="2" s="1"/>
  <c r="F26" i="2"/>
  <c r="G26" i="2" s="1"/>
  <c r="H26" i="2" s="1"/>
  <c r="I26" i="2" s="1"/>
  <c r="J25" i="2" s="1"/>
  <c r="A28" i="2"/>
  <c r="C27" i="2"/>
  <c r="K25" i="2"/>
  <c r="J23" i="2"/>
  <c r="K24" i="2"/>
  <c r="X19" i="2"/>
  <c r="R19" i="2"/>
  <c r="Y19" i="2" s="1"/>
  <c r="D44" i="6"/>
  <c r="D38" i="6"/>
  <c r="D45" i="6" s="1"/>
  <c r="H40" i="13"/>
  <c r="M40" i="13" s="1"/>
  <c r="B83" i="13"/>
  <c r="G39" i="13"/>
  <c r="G37" i="13"/>
  <c r="H33" i="13"/>
  <c r="H38" i="13"/>
  <c r="I31" i="6" l="1"/>
  <c r="I32" i="6" s="1"/>
  <c r="F32" i="6"/>
  <c r="J29" i="6"/>
  <c r="J30" i="6" s="1"/>
  <c r="G31" i="6"/>
  <c r="G51" i="6"/>
  <c r="G53" i="6" s="1"/>
  <c r="S21" i="2"/>
  <c r="Z21" i="2" s="1"/>
  <c r="H34" i="6"/>
  <c r="H41" i="6" s="1"/>
  <c r="H48" i="6" s="1"/>
  <c r="L14" i="6"/>
  <c r="N14" i="6" s="1"/>
  <c r="L13" i="6"/>
  <c r="N13" i="6" s="1"/>
  <c r="L15" i="6"/>
  <c r="N15" i="6" s="1"/>
  <c r="L16" i="6"/>
  <c r="N16" i="6" s="1"/>
  <c r="L19" i="6"/>
  <c r="N19" i="6" s="1"/>
  <c r="L17" i="6"/>
  <c r="N17" i="6" s="1"/>
  <c r="L18" i="6"/>
  <c r="N18" i="6" s="1"/>
  <c r="L10" i="6"/>
  <c r="N10" i="6" s="1"/>
  <c r="L26" i="6"/>
  <c r="N26" i="6" s="1"/>
  <c r="L21" i="6"/>
  <c r="N21" i="6" s="1"/>
  <c r="L22" i="6"/>
  <c r="N22" i="6" s="1"/>
  <c r="L11" i="6"/>
  <c r="N11" i="6" s="1"/>
  <c r="L23" i="6"/>
  <c r="N23" i="6" s="1"/>
  <c r="L12" i="6"/>
  <c r="N12" i="6" s="1"/>
  <c r="L24" i="6"/>
  <c r="N24" i="6" s="1"/>
  <c r="L25" i="6"/>
  <c r="N25" i="6" s="1"/>
  <c r="L20" i="6"/>
  <c r="N20" i="6" s="1"/>
  <c r="L24" i="2"/>
  <c r="M24" i="2" s="1"/>
  <c r="N24" i="2" s="1"/>
  <c r="U24" i="2" s="1"/>
  <c r="AB24" i="2" s="1"/>
  <c r="L25" i="2"/>
  <c r="M25" i="2" s="1"/>
  <c r="N25" i="2" s="1"/>
  <c r="U25" i="2" s="1"/>
  <c r="AB25" i="2" s="1"/>
  <c r="I33" i="13"/>
  <c r="M33" i="13"/>
  <c r="N33" i="13" s="1"/>
  <c r="I38" i="13"/>
  <c r="M38" i="13"/>
  <c r="N38" i="13" s="1"/>
  <c r="N40" i="13"/>
  <c r="I40" i="13"/>
  <c r="J50" i="6"/>
  <c r="K27" i="6"/>
  <c r="S20" i="2"/>
  <c r="Z20" i="2" s="1"/>
  <c r="Q22" i="2"/>
  <c r="X22" i="2" s="1"/>
  <c r="S19" i="2"/>
  <c r="Z19" i="2" s="1"/>
  <c r="E53" i="6"/>
  <c r="B48" i="6"/>
  <c r="B42" i="6"/>
  <c r="B36" i="6"/>
  <c r="B58" i="13"/>
  <c r="B76" i="13"/>
  <c r="B78" i="13"/>
  <c r="C37" i="6"/>
  <c r="C44" i="6" s="1"/>
  <c r="B77" i="13"/>
  <c r="E34" i="6"/>
  <c r="K26" i="2"/>
  <c r="F27" i="2"/>
  <c r="G27" i="2" s="1"/>
  <c r="H27" i="2" s="1"/>
  <c r="I27" i="2" s="1"/>
  <c r="J26" i="2" s="1"/>
  <c r="C28" i="2"/>
  <c r="A29" i="2"/>
  <c r="P23" i="2"/>
  <c r="U23" i="2"/>
  <c r="AB23" i="2" s="1"/>
  <c r="D39" i="6"/>
  <c r="H37" i="13"/>
  <c r="M37" i="13" s="1"/>
  <c r="H39" i="13"/>
  <c r="M39" i="13" s="1"/>
  <c r="B59" i="13"/>
  <c r="B57" i="13"/>
  <c r="I33" i="6" l="1"/>
  <c r="I34" i="6" s="1"/>
  <c r="I35" i="6" s="1"/>
  <c r="I36" i="6" s="1"/>
  <c r="I43" i="6" s="1"/>
  <c r="K28" i="6"/>
  <c r="K29" i="6" s="1"/>
  <c r="N27" i="6"/>
  <c r="N50" i="6"/>
  <c r="G32" i="6"/>
  <c r="G33" i="6" s="1"/>
  <c r="T21" i="2"/>
  <c r="AA21" i="2" s="1"/>
  <c r="AC21" i="2" s="1"/>
  <c r="H42" i="6"/>
  <c r="H35" i="6"/>
  <c r="H36" i="6" s="1"/>
  <c r="H43" i="6" s="1"/>
  <c r="L26" i="2"/>
  <c r="M26" i="2" s="1"/>
  <c r="N26" i="2" s="1"/>
  <c r="U26" i="2" s="1"/>
  <c r="N39" i="13"/>
  <c r="I39" i="13"/>
  <c r="N37" i="13"/>
  <c r="I37" i="13"/>
  <c r="T19" i="2"/>
  <c r="AA19" i="2" s="1"/>
  <c r="AC19" i="2" s="1"/>
  <c r="L27" i="6"/>
  <c r="K50" i="6"/>
  <c r="T20" i="2"/>
  <c r="AA20" i="2" s="1"/>
  <c r="AC20" i="2" s="1"/>
  <c r="O25" i="2"/>
  <c r="P25" i="2" s="1"/>
  <c r="Q25" i="2" s="1"/>
  <c r="R22" i="2"/>
  <c r="Y22" i="2" s="1"/>
  <c r="V25" i="2"/>
  <c r="V24" i="2"/>
  <c r="J31" i="6"/>
  <c r="B37" i="6"/>
  <c r="B43" i="6"/>
  <c r="I51" i="6"/>
  <c r="F33" i="6"/>
  <c r="B61" i="13"/>
  <c r="B56" i="13"/>
  <c r="C38" i="6"/>
  <c r="B75" i="13"/>
  <c r="E41" i="6"/>
  <c r="E35" i="6"/>
  <c r="K27" i="2"/>
  <c r="F28" i="2"/>
  <c r="G28" i="2" s="1"/>
  <c r="W23" i="2"/>
  <c r="Q23" i="2"/>
  <c r="O24" i="2"/>
  <c r="V23" i="2"/>
  <c r="A30" i="2"/>
  <c r="C29" i="2"/>
  <c r="F29" i="2" s="1"/>
  <c r="G29" i="2" s="1"/>
  <c r="D46" i="6"/>
  <c r="D40" i="6"/>
  <c r="D47" i="6" s="1"/>
  <c r="B80" i="13"/>
  <c r="B63" i="13"/>
  <c r="B82" i="13"/>
  <c r="G34" i="6" l="1"/>
  <c r="G35" i="6" s="1"/>
  <c r="J32" i="6"/>
  <c r="AD20" i="2"/>
  <c r="H37" i="6"/>
  <c r="H44" i="6" s="1"/>
  <c r="I37" i="6"/>
  <c r="I44" i="6" s="1"/>
  <c r="I41" i="6"/>
  <c r="I48" i="6" s="1"/>
  <c r="L27" i="2"/>
  <c r="M27" i="2" s="1"/>
  <c r="B60" i="13"/>
  <c r="B81" i="13"/>
  <c r="L28" i="6"/>
  <c r="N28" i="6" s="1"/>
  <c r="K30" i="6"/>
  <c r="AD19" i="2"/>
  <c r="S22" i="2"/>
  <c r="T22" i="2" s="1"/>
  <c r="AA22" i="2" s="1"/>
  <c r="X25" i="2"/>
  <c r="R25" i="2"/>
  <c r="Y25" i="2" s="1"/>
  <c r="O26" i="2"/>
  <c r="P26" i="2" s="1"/>
  <c r="W26" i="2" s="1"/>
  <c r="AB26" i="2"/>
  <c r="V26" i="2"/>
  <c r="B62" i="13"/>
  <c r="E42" i="6"/>
  <c r="F34" i="6"/>
  <c r="I53" i="6"/>
  <c r="B44" i="6"/>
  <c r="B38" i="6"/>
  <c r="B79" i="13"/>
  <c r="C45" i="6"/>
  <c r="C39" i="6"/>
  <c r="C46" i="6" s="1"/>
  <c r="E36" i="6"/>
  <c r="E48" i="6"/>
  <c r="H29" i="2"/>
  <c r="I29" i="2" s="1"/>
  <c r="X23" i="2"/>
  <c r="R23" i="2"/>
  <c r="C30" i="2"/>
  <c r="A31" i="2"/>
  <c r="W25" i="2"/>
  <c r="P24" i="2"/>
  <c r="W24" i="2" s="1"/>
  <c r="H28" i="2"/>
  <c r="I28" i="2" s="1"/>
  <c r="D49" i="6"/>
  <c r="G41" i="6" l="1"/>
  <c r="G48" i="6" s="1"/>
  <c r="G36" i="6"/>
  <c r="F41" i="6"/>
  <c r="F48" i="6" s="1"/>
  <c r="H38" i="6"/>
  <c r="H45" i="6" s="1"/>
  <c r="I42" i="6"/>
  <c r="I38" i="6"/>
  <c r="I45" i="6" s="1"/>
  <c r="N27" i="2"/>
  <c r="U27" i="2" s="1"/>
  <c r="AB27" i="2" s="1"/>
  <c r="S25" i="2"/>
  <c r="Z25" i="2" s="1"/>
  <c r="K31" i="6"/>
  <c r="J51" i="6"/>
  <c r="L29" i="6"/>
  <c r="N29" i="6" s="1"/>
  <c r="Q26" i="2"/>
  <c r="X26" i="2" s="1"/>
  <c r="Z22" i="2"/>
  <c r="AC22" i="2" s="1"/>
  <c r="AD21" i="2" s="1"/>
  <c r="B39" i="6"/>
  <c r="B45" i="6"/>
  <c r="E37" i="6"/>
  <c r="F35" i="6"/>
  <c r="J33" i="6"/>
  <c r="C40" i="6"/>
  <c r="C47" i="6" s="1"/>
  <c r="C49" i="6" s="1"/>
  <c r="E43" i="6"/>
  <c r="K29" i="2"/>
  <c r="L29" i="2" s="1"/>
  <c r="J28" i="2"/>
  <c r="F30" i="2"/>
  <c r="G30" i="2" s="1"/>
  <c r="Q24" i="2"/>
  <c r="Y23" i="2"/>
  <c r="S23" i="2"/>
  <c r="Z23" i="2" s="1"/>
  <c r="J27" i="2"/>
  <c r="K28" i="2"/>
  <c r="A32" i="2"/>
  <c r="C31" i="2"/>
  <c r="G42" i="6" l="1"/>
  <c r="G37" i="6"/>
  <c r="G43" i="6"/>
  <c r="B40" i="6"/>
  <c r="B47" i="6" s="1"/>
  <c r="F42" i="6"/>
  <c r="K32" i="6"/>
  <c r="O27" i="2"/>
  <c r="P27" i="2" s="1"/>
  <c r="W27" i="2" s="1"/>
  <c r="V27" i="2"/>
  <c r="I39" i="6"/>
  <c r="I46" i="6" s="1"/>
  <c r="H39" i="6"/>
  <c r="H46" i="6" s="1"/>
  <c r="L28" i="2"/>
  <c r="M28" i="2" s="1"/>
  <c r="N28" i="2" s="1"/>
  <c r="O28" i="2" s="1"/>
  <c r="T25" i="2"/>
  <c r="AA25" i="2" s="1"/>
  <c r="AC25" i="2" s="1"/>
  <c r="J53" i="6"/>
  <c r="L30" i="6"/>
  <c r="N30" i="6" s="1"/>
  <c r="R26" i="2"/>
  <c r="Y26" i="2" s="1"/>
  <c r="J34" i="6"/>
  <c r="E44" i="6"/>
  <c r="F36" i="6"/>
  <c r="E38" i="6"/>
  <c r="B46" i="6"/>
  <c r="C52" i="6"/>
  <c r="C54" i="6" s="1"/>
  <c r="F31" i="2"/>
  <c r="G31" i="2" s="1"/>
  <c r="M29" i="2"/>
  <c r="A33" i="2"/>
  <c r="C32" i="2"/>
  <c r="H30" i="2"/>
  <c r="I30" i="2" s="1"/>
  <c r="T23" i="2"/>
  <c r="AA23" i="2" s="1"/>
  <c r="AC23" i="2" s="1"/>
  <c r="AD22" i="2" s="1"/>
  <c r="X24" i="2"/>
  <c r="R24" i="2"/>
  <c r="Y24" i="2" s="1"/>
  <c r="I40" i="6" l="1"/>
  <c r="I47" i="6" s="1"/>
  <c r="I49" i="6" s="1"/>
  <c r="G44" i="6"/>
  <c r="G38" i="6"/>
  <c r="G45" i="6" s="1"/>
  <c r="J41" i="6"/>
  <c r="J48" i="6" s="1"/>
  <c r="Q27" i="2"/>
  <c r="R27" i="2" s="1"/>
  <c r="Y27" i="2" s="1"/>
  <c r="H40" i="6"/>
  <c r="H47" i="6" s="1"/>
  <c r="H49" i="6" s="1"/>
  <c r="S26" i="2"/>
  <c r="Z26" i="2" s="1"/>
  <c r="L31" i="6"/>
  <c r="K51" i="6"/>
  <c r="N51" i="6" s="1"/>
  <c r="K33" i="6"/>
  <c r="U28" i="2"/>
  <c r="AB28" i="2" s="1"/>
  <c r="F37" i="6"/>
  <c r="B49" i="6"/>
  <c r="F43" i="6"/>
  <c r="E45" i="6"/>
  <c r="J35" i="6"/>
  <c r="E39" i="6"/>
  <c r="J29" i="2"/>
  <c r="K30" i="2"/>
  <c r="L30" i="2" s="1"/>
  <c r="H31" i="2"/>
  <c r="I31" i="2" s="1"/>
  <c r="P28" i="2"/>
  <c r="W28" i="2" s="1"/>
  <c r="S24" i="2"/>
  <c r="Z24" i="2" s="1"/>
  <c r="N29" i="2"/>
  <c r="O29" i="2" s="1"/>
  <c r="F32" i="2"/>
  <c r="G32" i="2" s="1"/>
  <c r="H32" i="2" s="1"/>
  <c r="I32" i="2" s="1"/>
  <c r="C33" i="2"/>
  <c r="A34" i="2"/>
  <c r="G39" i="6" l="1"/>
  <c r="G46" i="6" s="1"/>
  <c r="J42" i="6"/>
  <c r="F44" i="6"/>
  <c r="L32" i="6"/>
  <c r="N32" i="6" s="1"/>
  <c r="N31" i="6"/>
  <c r="X27" i="2"/>
  <c r="S27" i="2"/>
  <c r="Z27" i="2" s="1"/>
  <c r="H52" i="6"/>
  <c r="H54" i="6" s="1"/>
  <c r="T26" i="2"/>
  <c r="AA26" i="2" s="1"/>
  <c r="AC26" i="2" s="1"/>
  <c r="AD25" i="2" s="1"/>
  <c r="K53" i="6"/>
  <c r="N53" i="6" s="1"/>
  <c r="K34" i="6"/>
  <c r="V28" i="2"/>
  <c r="U29" i="2"/>
  <c r="F38" i="6"/>
  <c r="B52" i="6"/>
  <c r="J36" i="6"/>
  <c r="E40" i="6"/>
  <c r="E46" i="6"/>
  <c r="Q28" i="2"/>
  <c r="X28" i="2" s="1"/>
  <c r="J31" i="2"/>
  <c r="T24" i="2"/>
  <c r="AA24" i="2" s="1"/>
  <c r="AC24" i="2" s="1"/>
  <c r="AD24" i="2" s="1"/>
  <c r="A35" i="2"/>
  <c r="C34" i="2"/>
  <c r="F33" i="2"/>
  <c r="G33" i="2" s="1"/>
  <c r="K32" i="2"/>
  <c r="L32" i="2" s="1"/>
  <c r="J30" i="2"/>
  <c r="K31" i="2"/>
  <c r="P29" i="2"/>
  <c r="W29" i="2" s="1"/>
  <c r="M30" i="2"/>
  <c r="T27" i="2" l="1"/>
  <c r="AA27" i="2" s="1"/>
  <c r="AC27" i="2" s="1"/>
  <c r="AD26" i="2" s="1"/>
  <c r="G40" i="6"/>
  <c r="G47" i="6" s="1"/>
  <c r="G49" i="6" s="1"/>
  <c r="G52" i="6" s="1"/>
  <c r="G54" i="6" s="1"/>
  <c r="J37" i="6"/>
  <c r="J44" i="6" s="1"/>
  <c r="K35" i="6"/>
  <c r="L31" i="2"/>
  <c r="M31" i="2" s="1"/>
  <c r="N31" i="2" s="1"/>
  <c r="L33" i="6"/>
  <c r="N33" i="6" s="1"/>
  <c r="K36" i="6"/>
  <c r="K37" i="6" s="1"/>
  <c r="K41" i="6"/>
  <c r="AD23" i="2"/>
  <c r="R28" i="2"/>
  <c r="Y28" i="2" s="1"/>
  <c r="AB29" i="2"/>
  <c r="V29" i="2"/>
  <c r="Q29" i="2"/>
  <c r="X29" i="2" s="1"/>
  <c r="F39" i="6"/>
  <c r="F45" i="6"/>
  <c r="J43" i="6"/>
  <c r="B54" i="6"/>
  <c r="E47" i="6"/>
  <c r="N30" i="2"/>
  <c r="U30" i="2" s="1"/>
  <c r="AB30" i="2" s="1"/>
  <c r="M32" i="2"/>
  <c r="F34" i="2"/>
  <c r="G34" i="2" s="1"/>
  <c r="H34" i="2" s="1"/>
  <c r="I34" i="2" s="1"/>
  <c r="H33" i="2"/>
  <c r="I33" i="2" s="1"/>
  <c r="C35" i="2"/>
  <c r="A36" i="2"/>
  <c r="J38" i="6" l="1"/>
  <c r="J39" i="6" s="1"/>
  <c r="J46" i="6" s="1"/>
  <c r="E49" i="6"/>
  <c r="D52" i="6" s="1"/>
  <c r="K44" i="6"/>
  <c r="K38" i="6"/>
  <c r="K48" i="6"/>
  <c r="K42" i="6"/>
  <c r="K43" i="6"/>
  <c r="L34" i="6"/>
  <c r="R29" i="2"/>
  <c r="Y29" i="2" s="1"/>
  <c r="V30" i="2"/>
  <c r="O30" i="2"/>
  <c r="P30" i="2" s="1"/>
  <c r="W30" i="2" s="1"/>
  <c r="S28" i="2"/>
  <c r="Z28" i="2" s="1"/>
  <c r="J33" i="2"/>
  <c r="F46" i="6"/>
  <c r="F40" i="6"/>
  <c r="U31" i="2"/>
  <c r="AB31" i="2" s="1"/>
  <c r="O31" i="2"/>
  <c r="P31" i="2" s="1"/>
  <c r="N32" i="2"/>
  <c r="U32" i="2" s="1"/>
  <c r="AB32" i="2" s="1"/>
  <c r="C36" i="2"/>
  <c r="A37" i="2"/>
  <c r="F35" i="2"/>
  <c r="G35" i="2" s="1"/>
  <c r="H35" i="2" s="1"/>
  <c r="I35" i="2" s="1"/>
  <c r="J34" i="2" s="1"/>
  <c r="K34" i="2"/>
  <c r="L34" i="2" s="1"/>
  <c r="J32" i="2"/>
  <c r="K33" i="2"/>
  <c r="J40" i="6" l="1"/>
  <c r="J47" i="6" s="1"/>
  <c r="J45" i="6"/>
  <c r="K45" i="6"/>
  <c r="F47" i="6"/>
  <c r="F49" i="6" s="1"/>
  <c r="F52" i="6" s="1"/>
  <c r="F54" i="6" s="1"/>
  <c r="L35" i="6"/>
  <c r="N35" i="6" s="1"/>
  <c r="N34" i="6"/>
  <c r="L33" i="2"/>
  <c r="M33" i="2" s="1"/>
  <c r="N33" i="2" s="1"/>
  <c r="O33" i="2" s="1"/>
  <c r="K39" i="6"/>
  <c r="S29" i="2"/>
  <c r="Z29" i="2" s="1"/>
  <c r="L41" i="6"/>
  <c r="N41" i="6" s="1"/>
  <c r="T28" i="2"/>
  <c r="AA28" i="2" s="1"/>
  <c r="AC28" i="2" s="1"/>
  <c r="AD27" i="2" s="1"/>
  <c r="V32" i="2"/>
  <c r="O32" i="2"/>
  <c r="P32" i="2" s="1"/>
  <c r="W32" i="2" s="1"/>
  <c r="D54" i="6"/>
  <c r="W31" i="2"/>
  <c r="Q31" i="2"/>
  <c r="X31" i="2" s="1"/>
  <c r="Q30" i="2"/>
  <c r="X30" i="2" s="1"/>
  <c r="V31" i="2"/>
  <c r="K35" i="2"/>
  <c r="L35" i="2" s="1"/>
  <c r="M34" i="2"/>
  <c r="A38" i="2"/>
  <c r="C37" i="2"/>
  <c r="F36" i="2"/>
  <c r="G36" i="2" s="1"/>
  <c r="J49" i="6" l="1"/>
  <c r="I52" i="6" s="1"/>
  <c r="L36" i="6"/>
  <c r="L43" i="6" s="1"/>
  <c r="N43" i="6" s="1"/>
  <c r="K46" i="6"/>
  <c r="E52" i="6"/>
  <c r="K40" i="6"/>
  <c r="T29" i="2"/>
  <c r="AA29" i="2" s="1"/>
  <c r="AC29" i="2" s="1"/>
  <c r="AD28" i="2" s="1"/>
  <c r="R30" i="2"/>
  <c r="Y30" i="2" s="1"/>
  <c r="L48" i="6"/>
  <c r="N48" i="6" s="1"/>
  <c r="L42" i="6"/>
  <c r="N42" i="6" s="1"/>
  <c r="U33" i="2"/>
  <c r="R31" i="2"/>
  <c r="S31" i="2" s="1"/>
  <c r="Z31" i="2" s="1"/>
  <c r="N34" i="2"/>
  <c r="O34" i="2" s="1"/>
  <c r="H36" i="2"/>
  <c r="I36" i="2" s="1"/>
  <c r="Q32" i="2"/>
  <c r="F37" i="2"/>
  <c r="G37" i="2" s="1"/>
  <c r="M35" i="2"/>
  <c r="A39" i="2"/>
  <c r="C38" i="2"/>
  <c r="P33" i="2"/>
  <c r="W33" i="2" s="1"/>
  <c r="K47" i="6" l="1"/>
  <c r="E54" i="6"/>
  <c r="L37" i="6"/>
  <c r="N36" i="6"/>
  <c r="S30" i="2"/>
  <c r="Z30" i="2" s="1"/>
  <c r="Y31" i="2"/>
  <c r="AB33" i="2"/>
  <c r="V33" i="2"/>
  <c r="I54" i="6"/>
  <c r="Q33" i="2"/>
  <c r="X33" i="2" s="1"/>
  <c r="N35" i="2"/>
  <c r="O35" i="2" s="1"/>
  <c r="J35" i="2"/>
  <c r="K36" i="2"/>
  <c r="L36" i="2" s="1"/>
  <c r="F38" i="2"/>
  <c r="G38" i="2" s="1"/>
  <c r="H38" i="2" s="1"/>
  <c r="I38" i="2" s="1"/>
  <c r="C39" i="2"/>
  <c r="A40" i="2"/>
  <c r="P34" i="2"/>
  <c r="W34" i="2" s="1"/>
  <c r="H37" i="2"/>
  <c r="I37" i="2" s="1"/>
  <c r="X32" i="2"/>
  <c r="R32" i="2"/>
  <c r="T31" i="2"/>
  <c r="AA31" i="2" s="1"/>
  <c r="U34" i="2"/>
  <c r="AC31" i="2" l="1"/>
  <c r="K49" i="6"/>
  <c r="L38" i="6"/>
  <c r="L39" i="6" s="1"/>
  <c r="L40" i="6" s="1"/>
  <c r="N40" i="6" s="1"/>
  <c r="N37" i="6"/>
  <c r="L44" i="6"/>
  <c r="N44" i="6" s="1"/>
  <c r="T30" i="2"/>
  <c r="AA30" i="2" s="1"/>
  <c r="AC30" i="2" s="1"/>
  <c r="AD29" i="2" s="1"/>
  <c r="U35" i="2"/>
  <c r="AB35" i="2" s="1"/>
  <c r="Q34" i="2"/>
  <c r="X34" i="2" s="1"/>
  <c r="J37" i="2"/>
  <c r="K38" i="2"/>
  <c r="R33" i="2"/>
  <c r="F39" i="2"/>
  <c r="G39" i="2" s="1"/>
  <c r="H39" i="2" s="1"/>
  <c r="I39" i="2" s="1"/>
  <c r="J38" i="2" s="1"/>
  <c r="Y32" i="2"/>
  <c r="AB34" i="2"/>
  <c r="V34" i="2"/>
  <c r="A41" i="2"/>
  <c r="C40" i="2"/>
  <c r="J36" i="2"/>
  <c r="K37" i="2"/>
  <c r="L37" i="2" s="1"/>
  <c r="M36" i="2"/>
  <c r="S32" i="2"/>
  <c r="Z32" i="2" s="1"/>
  <c r="P35" i="2"/>
  <c r="W35" i="2" s="1"/>
  <c r="L47" i="6" l="1"/>
  <c r="N47" i="6" s="1"/>
  <c r="N39" i="6"/>
  <c r="L46" i="6"/>
  <c r="N46" i="6" s="1"/>
  <c r="N38" i="6"/>
  <c r="L45" i="6"/>
  <c r="N45" i="6" s="1"/>
  <c r="J52" i="6"/>
  <c r="L38" i="2"/>
  <c r="M38" i="2" s="1"/>
  <c r="N38" i="2" s="1"/>
  <c r="U38" i="2" s="1"/>
  <c r="R34" i="2"/>
  <c r="S34" i="2" s="1"/>
  <c r="Z34" i="2" s="1"/>
  <c r="AD30" i="2"/>
  <c r="V35" i="2"/>
  <c r="Q35" i="2"/>
  <c r="X35" i="2" s="1"/>
  <c r="Y33" i="2"/>
  <c r="S33" i="2"/>
  <c r="Z33" i="2" s="1"/>
  <c r="N36" i="2"/>
  <c r="U36" i="2" s="1"/>
  <c r="AB36" i="2" s="1"/>
  <c r="F40" i="2"/>
  <c r="G40" i="2" s="1"/>
  <c r="H40" i="2" s="1"/>
  <c r="I40" i="2" s="1"/>
  <c r="J39" i="2" s="1"/>
  <c r="C41" i="2"/>
  <c r="A42" i="2"/>
  <c r="T32" i="2"/>
  <c r="AA32" i="2" s="1"/>
  <c r="AC32" i="2" s="1"/>
  <c r="AD31" i="2" s="1"/>
  <c r="K39" i="2"/>
  <c r="M37" i="2"/>
  <c r="Y34" i="2" l="1"/>
  <c r="L49" i="6"/>
  <c r="N49" i="6" s="1"/>
  <c r="J54" i="6"/>
  <c r="L39" i="2"/>
  <c r="M39" i="2" s="1"/>
  <c r="N39" i="2" s="1"/>
  <c r="U39" i="2" s="1"/>
  <c r="AB39" i="2" s="1"/>
  <c r="R35" i="2"/>
  <c r="Y35" i="2" s="1"/>
  <c r="T34" i="2"/>
  <c r="AA34" i="2" s="1"/>
  <c r="O36" i="2"/>
  <c r="P36" i="2" s="1"/>
  <c r="W36" i="2" s="1"/>
  <c r="T33" i="2"/>
  <c r="AA33" i="2" s="1"/>
  <c r="AC33" i="2" s="1"/>
  <c r="N37" i="2"/>
  <c r="U37" i="2" s="1"/>
  <c r="AB37" i="2" s="1"/>
  <c r="AB38" i="2"/>
  <c r="V38" i="2"/>
  <c r="F41" i="2"/>
  <c r="G41" i="2" s="1"/>
  <c r="K40" i="2"/>
  <c r="L40" i="2" s="1"/>
  <c r="O38" i="2"/>
  <c r="A43" i="2"/>
  <c r="C42" i="2"/>
  <c r="V36" i="2"/>
  <c r="AC34" i="2" l="1"/>
  <c r="AD33" i="2" s="1"/>
  <c r="K52" i="6"/>
  <c r="N52" i="6" s="1"/>
  <c r="S35" i="2"/>
  <c r="Z35" i="2" s="1"/>
  <c r="O37" i="2"/>
  <c r="P37" i="2" s="1"/>
  <c r="W37" i="2" s="1"/>
  <c r="V37" i="2"/>
  <c r="V39" i="2"/>
  <c r="AD32" i="2"/>
  <c r="Q36" i="2"/>
  <c r="R36" i="2" s="1"/>
  <c r="H41" i="2"/>
  <c r="I41" i="2" s="1"/>
  <c r="F42" i="2"/>
  <c r="G42" i="2" s="1"/>
  <c r="H42" i="2" s="1"/>
  <c r="I42" i="2" s="1"/>
  <c r="P38" i="2"/>
  <c r="W38" i="2" s="1"/>
  <c r="M40" i="2"/>
  <c r="O39" i="2"/>
  <c r="C43" i="2"/>
  <c r="A44" i="2"/>
  <c r="K54" i="6" l="1"/>
  <c r="N54" i="6" s="1"/>
  <c r="T35" i="2"/>
  <c r="AA35" i="2" s="1"/>
  <c r="AC35" i="2" s="1"/>
  <c r="AD34" i="2" s="1"/>
  <c r="Q37" i="2"/>
  <c r="X37" i="2" s="1"/>
  <c r="X36" i="2"/>
  <c r="J40" i="2"/>
  <c r="K41" i="2"/>
  <c r="L41" i="2" s="1"/>
  <c r="N40" i="2"/>
  <c r="U40" i="2" s="1"/>
  <c r="AB40" i="2" s="1"/>
  <c r="C44" i="2"/>
  <c r="A45" i="2"/>
  <c r="Q38" i="2"/>
  <c r="X38" i="2" s="1"/>
  <c r="J41" i="2"/>
  <c r="F43" i="2"/>
  <c r="G43" i="2" s="1"/>
  <c r="H43" i="2" s="1"/>
  <c r="I43" i="2" s="1"/>
  <c r="J42" i="2" s="1"/>
  <c r="P39" i="2"/>
  <c r="W39" i="2" s="1"/>
  <c r="K42" i="2"/>
  <c r="L42" i="2" s="1"/>
  <c r="Y36" i="2"/>
  <c r="S36" i="2"/>
  <c r="R37" i="2" l="1"/>
  <c r="S37" i="2" s="1"/>
  <c r="Z37" i="2" s="1"/>
  <c r="R38" i="2"/>
  <c r="Y38" i="2" s="1"/>
  <c r="V40" i="2"/>
  <c r="O40" i="2"/>
  <c r="P40" i="2" s="1"/>
  <c r="W40" i="2" s="1"/>
  <c r="F44" i="2"/>
  <c r="G44" i="2" s="1"/>
  <c r="Q39" i="2"/>
  <c r="A46" i="2"/>
  <c r="C45" i="2"/>
  <c r="Z36" i="2"/>
  <c r="T36" i="2"/>
  <c r="AA36" i="2" s="1"/>
  <c r="K43" i="2"/>
  <c r="M41" i="2"/>
  <c r="M42" i="2"/>
  <c r="L43" i="2" l="1"/>
  <c r="M43" i="2" s="1"/>
  <c r="N43" i="2" s="1"/>
  <c r="U43" i="2" s="1"/>
  <c r="AB43" i="2" s="1"/>
  <c r="AC36" i="2"/>
  <c r="AD35" i="2" s="1"/>
  <c r="T37" i="2"/>
  <c r="AA37" i="2" s="1"/>
  <c r="Y37" i="2"/>
  <c r="S38" i="2"/>
  <c r="Z38" i="2" s="1"/>
  <c r="Q40" i="2"/>
  <c r="X40" i="2" s="1"/>
  <c r="N41" i="2"/>
  <c r="O41" i="2" s="1"/>
  <c r="N42" i="2"/>
  <c r="O42" i="2" s="1"/>
  <c r="F45" i="2"/>
  <c r="G45" i="2" s="1"/>
  <c r="H45" i="2" s="1"/>
  <c r="I45" i="2" s="1"/>
  <c r="C46" i="2"/>
  <c r="A47" i="2"/>
  <c r="X39" i="2"/>
  <c r="R39" i="2"/>
  <c r="Y39" i="2" s="1"/>
  <c r="H44" i="2"/>
  <c r="I44" i="2" s="1"/>
  <c r="AC37" i="2" l="1"/>
  <c r="AD36" i="2" s="1"/>
  <c r="U42" i="2"/>
  <c r="AB42" i="2" s="1"/>
  <c r="T38" i="2"/>
  <c r="AA38" i="2" s="1"/>
  <c r="AC38" i="2" s="1"/>
  <c r="R40" i="2"/>
  <c r="Y40" i="2" s="1"/>
  <c r="S39" i="2"/>
  <c r="Z39" i="2" s="1"/>
  <c r="O43" i="2"/>
  <c r="P43" i="2" s="1"/>
  <c r="W43" i="2" s="1"/>
  <c r="P41" i="2"/>
  <c r="W41" i="2" s="1"/>
  <c r="J43" i="2"/>
  <c r="K44" i="2"/>
  <c r="P42" i="2"/>
  <c r="W42" i="2" s="1"/>
  <c r="F46" i="2"/>
  <c r="G46" i="2" s="1"/>
  <c r="H46" i="2" s="1"/>
  <c r="I46" i="2" s="1"/>
  <c r="J45" i="2" s="1"/>
  <c r="J44" i="2"/>
  <c r="K45" i="2"/>
  <c r="L45" i="2" s="1"/>
  <c r="V43" i="2"/>
  <c r="U41" i="2"/>
  <c r="AB41" i="2" s="1"/>
  <c r="A48" i="2"/>
  <c r="C47" i="2"/>
  <c r="L44" i="2" l="1"/>
  <c r="M44" i="2" s="1"/>
  <c r="N44" i="2" s="1"/>
  <c r="O44" i="2" s="1"/>
  <c r="AD37" i="2"/>
  <c r="V42" i="2"/>
  <c r="S40" i="2"/>
  <c r="Z40" i="2" s="1"/>
  <c r="T39" i="2"/>
  <c r="AA39" i="2" s="1"/>
  <c r="AC39" i="2" s="1"/>
  <c r="AD38" i="2" s="1"/>
  <c r="Q43" i="2"/>
  <c r="V41" i="2"/>
  <c r="Q42" i="2"/>
  <c r="M45" i="2"/>
  <c r="F47" i="2"/>
  <c r="G47" i="2" s="1"/>
  <c r="H47" i="2" s="1"/>
  <c r="I47" i="2" s="1"/>
  <c r="J46" i="2" s="1"/>
  <c r="C48" i="2"/>
  <c r="A49" i="2"/>
  <c r="K46" i="2"/>
  <c r="L46" i="2" s="1"/>
  <c r="Q41" i="2"/>
  <c r="X41" i="2" s="1"/>
  <c r="U44" i="2" l="1"/>
  <c r="AB44" i="2" s="1"/>
  <c r="T40" i="2"/>
  <c r="AA40" i="2" s="1"/>
  <c r="AC40" i="2" s="1"/>
  <c r="AD39" i="2" s="1"/>
  <c r="N45" i="2"/>
  <c r="O45" i="2" s="1"/>
  <c r="R41" i="2"/>
  <c r="S41" i="2" s="1"/>
  <c r="Z41" i="2" s="1"/>
  <c r="M46" i="2"/>
  <c r="P44" i="2"/>
  <c r="W44" i="2" s="1"/>
  <c r="A50" i="2"/>
  <c r="C49" i="2"/>
  <c r="X42" i="2"/>
  <c r="R42" i="2"/>
  <c r="F48" i="2"/>
  <c r="G48" i="2" s="1"/>
  <c r="R43" i="2"/>
  <c r="S43" i="2" s="1"/>
  <c r="Z43" i="2" s="1"/>
  <c r="X43" i="2"/>
  <c r="K47" i="2"/>
  <c r="L47" i="2" l="1"/>
  <c r="M47" i="2" s="1"/>
  <c r="N47" i="2" s="1"/>
  <c r="V44" i="2"/>
  <c r="Q44" i="2"/>
  <c r="X44" i="2" s="1"/>
  <c r="U45" i="2"/>
  <c r="AB45" i="2" s="1"/>
  <c r="N46" i="2"/>
  <c r="U46" i="2" s="1"/>
  <c r="AB46" i="2" s="1"/>
  <c r="P45" i="2"/>
  <c r="W45" i="2" s="1"/>
  <c r="H48" i="2"/>
  <c r="I48" i="2" s="1"/>
  <c r="Y42" i="2"/>
  <c r="S42" i="2"/>
  <c r="Y41" i="2"/>
  <c r="T41" i="2"/>
  <c r="AA41" i="2" s="1"/>
  <c r="F49" i="2"/>
  <c r="G49" i="2" s="1"/>
  <c r="H49" i="2" s="1"/>
  <c r="I49" i="2" s="1"/>
  <c r="K49" i="2" s="1"/>
  <c r="L49" i="2" s="1"/>
  <c r="C50" i="2"/>
  <c r="A51" i="2"/>
  <c r="Y43" i="2"/>
  <c r="T43" i="2"/>
  <c r="AA43" i="2" s="1"/>
  <c r="V45" i="2" l="1"/>
  <c r="R44" i="2"/>
  <c r="Y44" i="2" s="1"/>
  <c r="AC43" i="2"/>
  <c r="V46" i="2"/>
  <c r="Z42" i="2"/>
  <c r="T42" i="2"/>
  <c r="AA42" i="2" s="1"/>
  <c r="AC42" i="2" s="1"/>
  <c r="O47" i="2"/>
  <c r="U47" i="2"/>
  <c r="AB47" i="2" s="1"/>
  <c r="J47" i="2"/>
  <c r="K48" i="2"/>
  <c r="A52" i="2"/>
  <c r="C51" i="2"/>
  <c r="F50" i="2"/>
  <c r="G50" i="2" s="1"/>
  <c r="H50" i="2" s="1"/>
  <c r="I50" i="2" s="1"/>
  <c r="J49" i="2" s="1"/>
  <c r="Q45" i="2"/>
  <c r="R45" i="2" s="1"/>
  <c r="Y45" i="2" s="1"/>
  <c r="M49" i="2"/>
  <c r="J48" i="2"/>
  <c r="AC41" i="2"/>
  <c r="AD40" i="2" s="1"/>
  <c r="O46" i="2"/>
  <c r="L48" i="2" l="1"/>
  <c r="M48" i="2" s="1"/>
  <c r="N48" i="2" s="1"/>
  <c r="U48" i="2" s="1"/>
  <c r="AB48" i="2" s="1"/>
  <c r="S44" i="2"/>
  <c r="Z44" i="2" s="1"/>
  <c r="N49" i="2"/>
  <c r="O49" i="2" s="1"/>
  <c r="C52" i="2"/>
  <c r="A53" i="2"/>
  <c r="P47" i="2"/>
  <c r="W47" i="2" s="1"/>
  <c r="F51" i="2"/>
  <c r="G51" i="2" s="1"/>
  <c r="H51" i="2" s="1"/>
  <c r="I51" i="2" s="1"/>
  <c r="J50" i="2" s="1"/>
  <c r="P46" i="2"/>
  <c r="W46" i="2" s="1"/>
  <c r="AD41" i="2"/>
  <c r="X45" i="2"/>
  <c r="S45" i="2"/>
  <c r="Z45" i="2" s="1"/>
  <c r="K50" i="2"/>
  <c r="L50" i="2" s="1"/>
  <c r="AD42" i="2"/>
  <c r="V47" i="2"/>
  <c r="Q47" i="2" l="1"/>
  <c r="X47" i="2" s="1"/>
  <c r="V48" i="2"/>
  <c r="O48" i="2"/>
  <c r="P48" i="2" s="1"/>
  <c r="W48" i="2" s="1"/>
  <c r="U49" i="2"/>
  <c r="T45" i="2"/>
  <c r="AA45" i="2" s="1"/>
  <c r="AC45" i="2" s="1"/>
  <c r="T44" i="2"/>
  <c r="AA44" i="2" s="1"/>
  <c r="AC44" i="2" s="1"/>
  <c r="AD43" i="2" s="1"/>
  <c r="M50" i="2"/>
  <c r="A54" i="2"/>
  <c r="C53" i="2"/>
  <c r="F52" i="2"/>
  <c r="G52" i="2" s="1"/>
  <c r="Q46" i="2"/>
  <c r="P49" i="2"/>
  <c r="W49" i="2" s="1"/>
  <c r="K51" i="2"/>
  <c r="L51" i="2" l="1"/>
  <c r="M51" i="2" s="1"/>
  <c r="N51" i="2" s="1"/>
  <c r="O51" i="2" s="1"/>
  <c r="R47" i="2"/>
  <c r="Y47" i="2" s="1"/>
  <c r="AD44" i="2"/>
  <c r="AB49" i="2"/>
  <c r="V49" i="2"/>
  <c r="Q48" i="2"/>
  <c r="R48" i="2" s="1"/>
  <c r="Y48" i="2" s="1"/>
  <c r="Q49" i="2"/>
  <c r="X49" i="2" s="1"/>
  <c r="N50" i="2"/>
  <c r="U50" i="2" s="1"/>
  <c r="AB50" i="2" s="1"/>
  <c r="C54" i="2"/>
  <c r="A55" i="2"/>
  <c r="H52" i="2"/>
  <c r="I52" i="2" s="1"/>
  <c r="F53" i="2"/>
  <c r="G53" i="2" s="1"/>
  <c r="H53" i="2" s="1"/>
  <c r="I53" i="2" s="1"/>
  <c r="K53" i="2" s="1"/>
  <c r="X46" i="2"/>
  <c r="R46" i="2"/>
  <c r="Y46" i="2" s="1"/>
  <c r="L53" i="2" l="1"/>
  <c r="M53" i="2" s="1"/>
  <c r="N53" i="2" s="1"/>
  <c r="U53" i="2" s="1"/>
  <c r="AB53" i="2" s="1"/>
  <c r="S47" i="2"/>
  <c r="Z47" i="2" s="1"/>
  <c r="V50" i="2"/>
  <c r="O50" i="2"/>
  <c r="P50" i="2" s="1"/>
  <c r="W50" i="2" s="1"/>
  <c r="R49" i="2"/>
  <c r="Y49" i="2" s="1"/>
  <c r="X48" i="2"/>
  <c r="S48" i="2"/>
  <c r="Z48" i="2" s="1"/>
  <c r="J51" i="2"/>
  <c r="K52" i="2"/>
  <c r="L52" i="2" s="1"/>
  <c r="C55" i="2"/>
  <c r="A56" i="2"/>
  <c r="S46" i="2"/>
  <c r="Z46" i="2" s="1"/>
  <c r="P51" i="2"/>
  <c r="W51" i="2" s="1"/>
  <c r="F54" i="2"/>
  <c r="G54" i="2" s="1"/>
  <c r="H54" i="2" s="1"/>
  <c r="I54" i="2" s="1"/>
  <c r="J53" i="2" s="1"/>
  <c r="U51" i="2"/>
  <c r="J52" i="2"/>
  <c r="T47" i="2" l="1"/>
  <c r="AA47" i="2" s="1"/>
  <c r="AC47" i="2" s="1"/>
  <c r="S49" i="2"/>
  <c r="Z49" i="2" s="1"/>
  <c r="K54" i="2"/>
  <c r="T46" i="2"/>
  <c r="AA46" i="2" s="1"/>
  <c r="AC46" i="2" s="1"/>
  <c r="AD45" i="2" s="1"/>
  <c r="Q50" i="2"/>
  <c r="X50" i="2" s="1"/>
  <c r="V53" i="2"/>
  <c r="T48" i="2"/>
  <c r="AA48" i="2" s="1"/>
  <c r="AC48" i="2" s="1"/>
  <c r="Q51" i="2"/>
  <c r="X51" i="2" s="1"/>
  <c r="AB51" i="2"/>
  <c r="V51" i="2"/>
  <c r="F55" i="2"/>
  <c r="G55" i="2" s="1"/>
  <c r="O53" i="2"/>
  <c r="A57" i="2"/>
  <c r="C56" i="2"/>
  <c r="M52" i="2"/>
  <c r="L54" i="2" l="1"/>
  <c r="M54" i="2" s="1"/>
  <c r="N54" i="2" s="1"/>
  <c r="O54" i="2" s="1"/>
  <c r="AD47" i="2"/>
  <c r="AD46" i="2"/>
  <c r="T49" i="2"/>
  <c r="AA49" i="2" s="1"/>
  <c r="AC49" i="2" s="1"/>
  <c r="AD48" i="2" s="1"/>
  <c r="R50" i="2"/>
  <c r="Y50" i="2" s="1"/>
  <c r="R51" i="2"/>
  <c r="N52" i="2"/>
  <c r="U52" i="2" s="1"/>
  <c r="AB52" i="2" s="1"/>
  <c r="H55" i="2"/>
  <c r="I55" i="2" s="1"/>
  <c r="F56" i="2"/>
  <c r="G56" i="2" s="1"/>
  <c r="H56" i="2" s="1"/>
  <c r="I56" i="2" s="1"/>
  <c r="C57" i="2"/>
  <c r="A58" i="2"/>
  <c r="P53" i="2"/>
  <c r="W53" i="2" s="1"/>
  <c r="U54" i="2" l="1"/>
  <c r="AB54" i="2" s="1"/>
  <c r="S50" i="2"/>
  <c r="Z50" i="2" s="1"/>
  <c r="V52" i="2"/>
  <c r="O52" i="2"/>
  <c r="Q53" i="2"/>
  <c r="Y51" i="2"/>
  <c r="S51" i="2"/>
  <c r="Z51" i="2" s="1"/>
  <c r="J54" i="2"/>
  <c r="K55" i="2"/>
  <c r="J55" i="2"/>
  <c r="P52" i="2"/>
  <c r="W52" i="2" s="1"/>
  <c r="A59" i="2"/>
  <c r="C58" i="2"/>
  <c r="F57" i="2"/>
  <c r="G57" i="2" s="1"/>
  <c r="P54" i="2"/>
  <c r="W54" i="2" s="1"/>
  <c r="K56" i="2"/>
  <c r="L55" i="2" l="1"/>
  <c r="M55" i="2" s="1"/>
  <c r="N55" i="2" s="1"/>
  <c r="U55" i="2" s="1"/>
  <c r="L56" i="2"/>
  <c r="M56" i="2" s="1"/>
  <c r="N56" i="2" s="1"/>
  <c r="U56" i="2" s="1"/>
  <c r="AB56" i="2" s="1"/>
  <c r="Q54" i="2"/>
  <c r="X54" i="2" s="1"/>
  <c r="V54" i="2"/>
  <c r="T50" i="2"/>
  <c r="AA50" i="2" s="1"/>
  <c r="AC50" i="2" s="1"/>
  <c r="AD49" i="2" s="1"/>
  <c r="T51" i="2"/>
  <c r="AA51" i="2" s="1"/>
  <c r="AC51" i="2" s="1"/>
  <c r="X53" i="2"/>
  <c r="R53" i="2"/>
  <c r="S53" i="2" s="1"/>
  <c r="Z53" i="2" s="1"/>
  <c r="C59" i="2"/>
  <c r="A60" i="2"/>
  <c r="Q52" i="2"/>
  <c r="H57" i="2"/>
  <c r="I57" i="2" s="1"/>
  <c r="F58" i="2"/>
  <c r="G58" i="2" s="1"/>
  <c r="H58" i="2" s="1"/>
  <c r="I58" i="2" s="1"/>
  <c r="K58" i="2" s="1"/>
  <c r="L58" i="2" s="1"/>
  <c r="R54" i="2" l="1"/>
  <c r="S54" i="2" s="1"/>
  <c r="Z54" i="2" s="1"/>
  <c r="O56" i="2"/>
  <c r="P56" i="2" s="1"/>
  <c r="W56" i="2" s="1"/>
  <c r="AD50" i="2"/>
  <c r="O55" i="2"/>
  <c r="AB55" i="2"/>
  <c r="V55" i="2"/>
  <c r="Y53" i="2"/>
  <c r="T53" i="2"/>
  <c r="AA53" i="2" s="1"/>
  <c r="AC53" i="2" s="1"/>
  <c r="J56" i="2"/>
  <c r="K57" i="2"/>
  <c r="L57" i="2" s="1"/>
  <c r="M58" i="2"/>
  <c r="F59" i="2"/>
  <c r="G59" i="2" s="1"/>
  <c r="H59" i="2" s="1"/>
  <c r="I59" i="2" s="1"/>
  <c r="J58" i="2" s="1"/>
  <c r="X52" i="2"/>
  <c r="R52" i="2"/>
  <c r="Y52" i="2" s="1"/>
  <c r="C60" i="2"/>
  <c r="A61" i="2"/>
  <c r="J57" i="2"/>
  <c r="V56" i="2"/>
  <c r="P55" i="2"/>
  <c r="W55" i="2" s="1"/>
  <c r="Y54" i="2" l="1"/>
  <c r="T54" i="2"/>
  <c r="AA54" i="2" s="1"/>
  <c r="Q55" i="2"/>
  <c r="X55" i="2" s="1"/>
  <c r="S52" i="2"/>
  <c r="Z52" i="2" s="1"/>
  <c r="Q56" i="2"/>
  <c r="X56" i="2" s="1"/>
  <c r="N58" i="2"/>
  <c r="A62" i="2"/>
  <c r="C61" i="2"/>
  <c r="F60" i="2"/>
  <c r="G60" i="2" s="1"/>
  <c r="K59" i="2"/>
  <c r="M57" i="2"/>
  <c r="L59" i="2" l="1"/>
  <c r="M59" i="2" s="1"/>
  <c r="N59" i="2" s="1"/>
  <c r="U59" i="2" s="1"/>
  <c r="AB59" i="2" s="1"/>
  <c r="AC54" i="2"/>
  <c r="AD53" i="2" s="1"/>
  <c r="T52" i="2"/>
  <c r="AA52" i="2" s="1"/>
  <c r="AC52" i="2" s="1"/>
  <c r="AD51" i="2" s="1"/>
  <c r="R56" i="2"/>
  <c r="Y56" i="2" s="1"/>
  <c r="R55" i="2"/>
  <c r="Y55" i="2" s="1"/>
  <c r="O58" i="2"/>
  <c r="P58" i="2" s="1"/>
  <c r="W58" i="2" s="1"/>
  <c r="U58" i="2"/>
  <c r="AB58" i="2" s="1"/>
  <c r="H60" i="2"/>
  <c r="I60" i="2" s="1"/>
  <c r="A63" i="2"/>
  <c r="C62" i="2"/>
  <c r="F61" i="2"/>
  <c r="G61" i="2" s="1"/>
  <c r="N57" i="2"/>
  <c r="O57" i="2" s="1"/>
  <c r="S55" i="2" l="1"/>
  <c r="Z55" i="2" s="1"/>
  <c r="AD52" i="2"/>
  <c r="S56" i="2"/>
  <c r="Z56" i="2" s="1"/>
  <c r="Q58" i="2"/>
  <c r="X58" i="2" s="1"/>
  <c r="V58" i="2"/>
  <c r="C63" i="2"/>
  <c r="A64" i="2"/>
  <c r="O59" i="2"/>
  <c r="F62" i="2"/>
  <c r="G62" i="2" s="1"/>
  <c r="J59" i="2"/>
  <c r="K60" i="2"/>
  <c r="L60" i="2" s="1"/>
  <c r="P57" i="2"/>
  <c r="W57" i="2" s="1"/>
  <c r="U57" i="2"/>
  <c r="H61" i="2"/>
  <c r="I61" i="2" s="1"/>
  <c r="V59" i="2"/>
  <c r="T55" i="2" l="1"/>
  <c r="AA55" i="2" s="1"/>
  <c r="AC55" i="2" s="1"/>
  <c r="AD54" i="2" s="1"/>
  <c r="T56" i="2"/>
  <c r="AA56" i="2" s="1"/>
  <c r="AC56" i="2" s="1"/>
  <c r="R58" i="2"/>
  <c r="Y58" i="2" s="1"/>
  <c r="J60" i="2"/>
  <c r="K61" i="2"/>
  <c r="H62" i="2"/>
  <c r="I62" i="2" s="1"/>
  <c r="F63" i="2"/>
  <c r="G63" i="2" s="1"/>
  <c r="M60" i="2"/>
  <c r="AB57" i="2"/>
  <c r="V57" i="2"/>
  <c r="A65" i="2"/>
  <c r="C64" i="2"/>
  <c r="P59" i="2"/>
  <c r="W59" i="2" s="1"/>
  <c r="Q57" i="2"/>
  <c r="L61" i="2" l="1"/>
  <c r="M61" i="2" s="1"/>
  <c r="N61" i="2" s="1"/>
  <c r="O61" i="2" s="1"/>
  <c r="AD55" i="2"/>
  <c r="S58" i="2"/>
  <c r="Z58" i="2" s="1"/>
  <c r="Q59" i="2"/>
  <c r="X59" i="2" s="1"/>
  <c r="N60" i="2"/>
  <c r="U60" i="2" s="1"/>
  <c r="J61" i="2"/>
  <c r="K62" i="2"/>
  <c r="F64" i="2"/>
  <c r="G64" i="2" s="1"/>
  <c r="X57" i="2"/>
  <c r="R57" i="2"/>
  <c r="Y57" i="2" s="1"/>
  <c r="A66" i="2"/>
  <c r="C65" i="2"/>
  <c r="H63" i="2"/>
  <c r="I63" i="2" s="1"/>
  <c r="L62" i="2" l="1"/>
  <c r="M62" i="2" s="1"/>
  <c r="N62" i="2" s="1"/>
  <c r="U62" i="2" s="1"/>
  <c r="AB62" i="2" s="1"/>
  <c r="T58" i="2"/>
  <c r="AA58" i="2" s="1"/>
  <c r="AC58" i="2" s="1"/>
  <c r="O60" i="2"/>
  <c r="P60" i="2" s="1"/>
  <c r="W60" i="2" s="1"/>
  <c r="R59" i="2"/>
  <c r="S59" i="2" s="1"/>
  <c r="Z59" i="2" s="1"/>
  <c r="J62" i="2"/>
  <c r="K63" i="2"/>
  <c r="P61" i="2"/>
  <c r="W61" i="2" s="1"/>
  <c r="AB60" i="2"/>
  <c r="V60" i="2"/>
  <c r="S57" i="2"/>
  <c r="Z57" i="2" s="1"/>
  <c r="F65" i="2"/>
  <c r="G65" i="2" s="1"/>
  <c r="H64" i="2"/>
  <c r="I64" i="2" s="1"/>
  <c r="U61" i="2"/>
  <c r="C66" i="2"/>
  <c r="A67" i="2"/>
  <c r="Y59" i="2" l="1"/>
  <c r="L63" i="2"/>
  <c r="M63" i="2" s="1"/>
  <c r="N63" i="2" s="1"/>
  <c r="U63" i="2" s="1"/>
  <c r="Q60" i="2"/>
  <c r="X60" i="2" s="1"/>
  <c r="T59" i="2"/>
  <c r="AA59" i="2" s="1"/>
  <c r="V62" i="2"/>
  <c r="O62" i="2"/>
  <c r="P62" i="2" s="1"/>
  <c r="J63" i="2"/>
  <c r="K64" i="2"/>
  <c r="L64" i="2" s="1"/>
  <c r="F66" i="2"/>
  <c r="G66" i="2" s="1"/>
  <c r="T57" i="2"/>
  <c r="AA57" i="2" s="1"/>
  <c r="AC57" i="2" s="1"/>
  <c r="AB61" i="2"/>
  <c r="V61" i="2"/>
  <c r="A68" i="2"/>
  <c r="C67" i="2"/>
  <c r="Q61" i="2"/>
  <c r="H65" i="2"/>
  <c r="I65" i="2" s="1"/>
  <c r="AC59" i="2" l="1"/>
  <c r="AD58" i="2" s="1"/>
  <c r="O63" i="2"/>
  <c r="P63" i="2" s="1"/>
  <c r="W63" i="2" s="1"/>
  <c r="AB63" i="2"/>
  <c r="V63" i="2"/>
  <c r="R60" i="2"/>
  <c r="W62" i="2"/>
  <c r="Q62" i="2"/>
  <c r="X62" i="2" s="1"/>
  <c r="K65" i="2"/>
  <c r="J64" i="2"/>
  <c r="AD56" i="2"/>
  <c r="AD57" i="2"/>
  <c r="H66" i="2"/>
  <c r="I66" i="2" s="1"/>
  <c r="M64" i="2"/>
  <c r="F67" i="2"/>
  <c r="G67" i="2" s="1"/>
  <c r="X61" i="2"/>
  <c r="R61" i="2"/>
  <c r="Y61" i="2" s="1"/>
  <c r="C68" i="2"/>
  <c r="A69" i="2"/>
  <c r="L65" i="2" l="1"/>
  <c r="M65" i="2" s="1"/>
  <c r="N65" i="2" s="1"/>
  <c r="O65" i="2" s="1"/>
  <c r="R62" i="2"/>
  <c r="S62" i="2" s="1"/>
  <c r="Z62" i="2" s="1"/>
  <c r="Q63" i="2"/>
  <c r="X63" i="2" s="1"/>
  <c r="Y60" i="2"/>
  <c r="S60" i="2"/>
  <c r="Z60" i="2" s="1"/>
  <c r="N64" i="2"/>
  <c r="O64" i="2" s="1"/>
  <c r="J65" i="2"/>
  <c r="K66" i="2"/>
  <c r="L66" i="2" s="1"/>
  <c r="F68" i="2"/>
  <c r="G68" i="2" s="1"/>
  <c r="S61" i="2"/>
  <c r="Z61" i="2" s="1"/>
  <c r="H67" i="2"/>
  <c r="I67" i="2" s="1"/>
  <c r="A70" i="2"/>
  <c r="C69" i="2"/>
  <c r="Y62" i="2" l="1"/>
  <c r="T62" i="2"/>
  <c r="AA62" i="2" s="1"/>
  <c r="R63" i="2"/>
  <c r="Y63" i="2" s="1"/>
  <c r="U64" i="2"/>
  <c r="AB64" i="2" s="1"/>
  <c r="T60" i="2"/>
  <c r="AA60" i="2" s="1"/>
  <c r="AC60" i="2" s="1"/>
  <c r="AD59" i="2" s="1"/>
  <c r="T61" i="2"/>
  <c r="AA61" i="2" s="1"/>
  <c r="AC61" i="2" s="1"/>
  <c r="U65" i="2"/>
  <c r="AB65" i="2" s="1"/>
  <c r="J66" i="2"/>
  <c r="K67" i="2"/>
  <c r="L67" i="2" s="1"/>
  <c r="P64" i="2"/>
  <c r="W64" i="2" s="1"/>
  <c r="P65" i="2"/>
  <c r="W65" i="2" s="1"/>
  <c r="F69" i="2"/>
  <c r="G69" i="2" s="1"/>
  <c r="H68" i="2"/>
  <c r="I68" i="2" s="1"/>
  <c r="M66" i="2"/>
  <c r="A71" i="2"/>
  <c r="C70" i="2"/>
  <c r="V64" i="2" l="1"/>
  <c r="AC62" i="2"/>
  <c r="AD61" i="2" s="1"/>
  <c r="S63" i="2"/>
  <c r="Z63" i="2" s="1"/>
  <c r="AD60" i="2"/>
  <c r="Q65" i="2"/>
  <c r="X65" i="2" s="1"/>
  <c r="V65" i="2"/>
  <c r="N66" i="2"/>
  <c r="U66" i="2" s="1"/>
  <c r="F70" i="2"/>
  <c r="G70" i="2" s="1"/>
  <c r="C71" i="2"/>
  <c r="A72" i="2"/>
  <c r="J67" i="2"/>
  <c r="K68" i="2"/>
  <c r="L68" i="2" s="1"/>
  <c r="H69" i="2"/>
  <c r="I69" i="2" s="1"/>
  <c r="M67" i="2"/>
  <c r="Q64" i="2"/>
  <c r="T63" i="2" l="1"/>
  <c r="AA63" i="2" s="1"/>
  <c r="AC63" i="2" s="1"/>
  <c r="AD62" i="2" s="1"/>
  <c r="R65" i="2"/>
  <c r="Y65" i="2" s="1"/>
  <c r="O66" i="2"/>
  <c r="P66" i="2" s="1"/>
  <c r="W66" i="2" s="1"/>
  <c r="N67" i="2"/>
  <c r="U67" i="2" s="1"/>
  <c r="AB67" i="2" s="1"/>
  <c r="J68" i="2"/>
  <c r="K69" i="2"/>
  <c r="L69" i="2" s="1"/>
  <c r="AB66" i="2"/>
  <c r="V66" i="2"/>
  <c r="M68" i="2"/>
  <c r="A73" i="2"/>
  <c r="C72" i="2"/>
  <c r="X64" i="2"/>
  <c r="R64" i="2"/>
  <c r="Y64" i="2" s="1"/>
  <c r="F71" i="2"/>
  <c r="G71" i="2" s="1"/>
  <c r="H70" i="2"/>
  <c r="I70" i="2" s="1"/>
  <c r="O67" i="2" l="1"/>
  <c r="P67" i="2" s="1"/>
  <c r="W67" i="2" s="1"/>
  <c r="V67" i="2"/>
  <c r="Q66" i="2"/>
  <c r="X66" i="2" s="1"/>
  <c r="S65" i="2"/>
  <c r="Z65" i="2" s="1"/>
  <c r="S64" i="2"/>
  <c r="N68" i="2"/>
  <c r="U68" i="2" s="1"/>
  <c r="AB68" i="2" s="1"/>
  <c r="J69" i="2"/>
  <c r="K70" i="2"/>
  <c r="L70" i="2" s="1"/>
  <c r="A74" i="2"/>
  <c r="C73" i="2"/>
  <c r="F72" i="2"/>
  <c r="G72" i="2" s="1"/>
  <c r="H72" i="2" s="1"/>
  <c r="I72" i="2" s="1"/>
  <c r="K72" i="2" s="1"/>
  <c r="L72" i="2" s="1"/>
  <c r="H71" i="2"/>
  <c r="I71" i="2" s="1"/>
  <c r="M69" i="2"/>
  <c r="R66" i="2" l="1"/>
  <c r="S66" i="2" s="1"/>
  <c r="Z66" i="2" s="1"/>
  <c r="T65" i="2"/>
  <c r="AA65" i="2" s="1"/>
  <c r="AC65" i="2" s="1"/>
  <c r="O68" i="2"/>
  <c r="P68" i="2" s="1"/>
  <c r="W68" i="2" s="1"/>
  <c r="Z64" i="2"/>
  <c r="T64" i="2"/>
  <c r="AA64" i="2" s="1"/>
  <c r="AC64" i="2" s="1"/>
  <c r="V68" i="2"/>
  <c r="J70" i="2"/>
  <c r="K71" i="2"/>
  <c r="M72" i="2"/>
  <c r="J71" i="2"/>
  <c r="F73" i="2"/>
  <c r="G73" i="2" s="1"/>
  <c r="H73" i="2" s="1"/>
  <c r="I73" i="2" s="1"/>
  <c r="J72" i="2" s="1"/>
  <c r="A75" i="2"/>
  <c r="C74" i="2"/>
  <c r="M70" i="2"/>
  <c r="Q67" i="2"/>
  <c r="N69" i="2"/>
  <c r="U69" i="2" s="1"/>
  <c r="AB69" i="2" s="1"/>
  <c r="Y66" i="2" l="1"/>
  <c r="L71" i="2"/>
  <c r="M71" i="2" s="1"/>
  <c r="N71" i="2" s="1"/>
  <c r="U71" i="2" s="1"/>
  <c r="AB71" i="2" s="1"/>
  <c r="Q68" i="2"/>
  <c r="X68" i="2" s="1"/>
  <c r="O69" i="2"/>
  <c r="P69" i="2" s="1"/>
  <c r="W69" i="2" s="1"/>
  <c r="AD63" i="2"/>
  <c r="AD64" i="2"/>
  <c r="V69" i="2"/>
  <c r="N72" i="2"/>
  <c r="U72" i="2" s="1"/>
  <c r="AB72" i="2" s="1"/>
  <c r="K73" i="2"/>
  <c r="F74" i="2"/>
  <c r="G74" i="2" s="1"/>
  <c r="A76" i="2"/>
  <c r="C75" i="2"/>
  <c r="X67" i="2"/>
  <c r="R67" i="2"/>
  <c r="Y67" i="2" s="1"/>
  <c r="T66" i="2"/>
  <c r="AA66" i="2" s="1"/>
  <c r="N70" i="2"/>
  <c r="U70" i="2" s="1"/>
  <c r="AB70" i="2" s="1"/>
  <c r="AC66" i="2" l="1"/>
  <c r="AD65" i="2" s="1"/>
  <c r="L73" i="2"/>
  <c r="M73" i="2" s="1"/>
  <c r="N73" i="2" s="1"/>
  <c r="U73" i="2" s="1"/>
  <c r="R68" i="2"/>
  <c r="Y68" i="2" s="1"/>
  <c r="V72" i="2"/>
  <c r="Q69" i="2"/>
  <c r="X69" i="2" s="1"/>
  <c r="O70" i="2"/>
  <c r="V70" i="2"/>
  <c r="F75" i="2"/>
  <c r="G75" i="2" s="1"/>
  <c r="H75" i="2" s="1"/>
  <c r="I75" i="2" s="1"/>
  <c r="K75" i="2" s="1"/>
  <c r="A77" i="2"/>
  <c r="C76" i="2"/>
  <c r="S67" i="2"/>
  <c r="H74" i="2"/>
  <c r="I74" i="2" s="1"/>
  <c r="V71" i="2"/>
  <c r="O71" i="2"/>
  <c r="O72" i="2"/>
  <c r="L75" i="2" l="1"/>
  <c r="M75" i="2" s="1"/>
  <c r="N75" i="2" s="1"/>
  <c r="U75" i="2" s="1"/>
  <c r="AB75" i="2" s="1"/>
  <c r="R69" i="2"/>
  <c r="Y69" i="2" s="1"/>
  <c r="S68" i="2"/>
  <c r="Z68" i="2" s="1"/>
  <c r="AB73" i="2"/>
  <c r="V73" i="2"/>
  <c r="J73" i="2"/>
  <c r="K74" i="2"/>
  <c r="L74" i="2" s="1"/>
  <c r="C77" i="2"/>
  <c r="A78" i="2"/>
  <c r="P72" i="2"/>
  <c r="W72" i="2" s="1"/>
  <c r="P71" i="2"/>
  <c r="W71" i="2" s="1"/>
  <c r="O73" i="2"/>
  <c r="Z67" i="2"/>
  <c r="T67" i="2"/>
  <c r="AA67" i="2" s="1"/>
  <c r="F76" i="2"/>
  <c r="G76" i="2" s="1"/>
  <c r="H76" i="2" s="1"/>
  <c r="I76" i="2" s="1"/>
  <c r="J75" i="2" s="1"/>
  <c r="J74" i="2"/>
  <c r="P70" i="2"/>
  <c r="W70" i="2" s="1"/>
  <c r="S69" i="2" l="1"/>
  <c r="Z69" i="2" s="1"/>
  <c r="T68" i="2"/>
  <c r="AA68" i="2" s="1"/>
  <c r="AC68" i="2" s="1"/>
  <c r="Q70" i="2"/>
  <c r="X70" i="2" s="1"/>
  <c r="AC67" i="2"/>
  <c r="AD66" i="2" s="1"/>
  <c r="Q71" i="2"/>
  <c r="X71" i="2" s="1"/>
  <c r="Q72" i="2"/>
  <c r="X72" i="2" s="1"/>
  <c r="V75" i="2"/>
  <c r="K76" i="2"/>
  <c r="O75" i="2"/>
  <c r="P75" i="2" s="1"/>
  <c r="W75" i="2" s="1"/>
  <c r="F77" i="2"/>
  <c r="G77" i="2" s="1"/>
  <c r="P73" i="2"/>
  <c r="W73" i="2" s="1"/>
  <c r="M74" i="2"/>
  <c r="C78" i="2"/>
  <c r="A79" i="2"/>
  <c r="T69" i="2" l="1"/>
  <c r="AA69" i="2" s="1"/>
  <c r="AC69" i="2" s="1"/>
  <c r="AD68" i="2" s="1"/>
  <c r="L76" i="2"/>
  <c r="M76" i="2" s="1"/>
  <c r="R70" i="2"/>
  <c r="Y70" i="2" s="1"/>
  <c r="R71" i="2"/>
  <c r="Y71" i="2" s="1"/>
  <c r="AD67" i="2"/>
  <c r="Q73" i="2"/>
  <c r="X73" i="2" s="1"/>
  <c r="R72" i="2"/>
  <c r="S72" i="2" s="1"/>
  <c r="Z72" i="2" s="1"/>
  <c r="N74" i="2"/>
  <c r="U74" i="2" s="1"/>
  <c r="F78" i="2"/>
  <c r="G78" i="2" s="1"/>
  <c r="H77" i="2"/>
  <c r="I77" i="2" s="1"/>
  <c r="C79" i="2"/>
  <c r="A80" i="2"/>
  <c r="Q75" i="2"/>
  <c r="N76" i="2" l="1"/>
  <c r="U76" i="2" s="1"/>
  <c r="AB76" i="2" s="1"/>
  <c r="Y72" i="2"/>
  <c r="S71" i="2"/>
  <c r="Z71" i="2" s="1"/>
  <c r="S70" i="2"/>
  <c r="T70" i="2" s="1"/>
  <c r="AA70" i="2" s="1"/>
  <c r="R73" i="2"/>
  <c r="O74" i="2"/>
  <c r="P74" i="2" s="1"/>
  <c r="AB74" i="2"/>
  <c r="V74" i="2"/>
  <c r="J76" i="2"/>
  <c r="K77" i="2"/>
  <c r="H78" i="2"/>
  <c r="I78" i="2" s="1"/>
  <c r="C80" i="2"/>
  <c r="A81" i="2"/>
  <c r="F79" i="2"/>
  <c r="G79" i="2" s="1"/>
  <c r="H79" i="2" s="1"/>
  <c r="I79" i="2" s="1"/>
  <c r="R75" i="2"/>
  <c r="X75" i="2"/>
  <c r="T72" i="2"/>
  <c r="AA72" i="2" s="1"/>
  <c r="AC72" i="2" l="1"/>
  <c r="L77" i="2"/>
  <c r="M77" i="2" s="1"/>
  <c r="N77" i="2" s="1"/>
  <c r="O77" i="2" s="1"/>
  <c r="V76" i="2"/>
  <c r="O76" i="2"/>
  <c r="P76" i="2" s="1"/>
  <c r="W76" i="2" s="1"/>
  <c r="T71" i="2"/>
  <c r="AA71" i="2" s="1"/>
  <c r="AC71" i="2" s="1"/>
  <c r="Z70" i="2"/>
  <c r="AC70" i="2" s="1"/>
  <c r="AD69" i="2" s="1"/>
  <c r="Y73" i="2"/>
  <c r="S73" i="2"/>
  <c r="W74" i="2"/>
  <c r="Q74" i="2"/>
  <c r="X74" i="2" s="1"/>
  <c r="Q76" i="2"/>
  <c r="X76" i="2" s="1"/>
  <c r="J78" i="2"/>
  <c r="K79" i="2"/>
  <c r="L79" i="2" s="1"/>
  <c r="A82" i="2"/>
  <c r="C81" i="2"/>
  <c r="Y75" i="2"/>
  <c r="S75" i="2"/>
  <c r="Z75" i="2" s="1"/>
  <c r="F80" i="2"/>
  <c r="G80" i="2" s="1"/>
  <c r="J77" i="2"/>
  <c r="K78" i="2"/>
  <c r="L78" i="2" l="1"/>
  <c r="M78" i="2" s="1"/>
  <c r="N78" i="2" s="1"/>
  <c r="U78" i="2" s="1"/>
  <c r="AD70" i="2"/>
  <c r="AD71" i="2"/>
  <c r="R74" i="2"/>
  <c r="Y74" i="2" s="1"/>
  <c r="Z73" i="2"/>
  <c r="T73" i="2"/>
  <c r="AA73" i="2" s="1"/>
  <c r="R76" i="2"/>
  <c r="Y76" i="2" s="1"/>
  <c r="P77" i="2"/>
  <c r="W77" i="2" s="1"/>
  <c r="F81" i="2"/>
  <c r="G81" i="2" s="1"/>
  <c r="U77" i="2"/>
  <c r="H80" i="2"/>
  <c r="I80" i="2" s="1"/>
  <c r="T75" i="2"/>
  <c r="AA75" i="2" s="1"/>
  <c r="AC75" i="2" s="1"/>
  <c r="A83" i="2"/>
  <c r="C82" i="2"/>
  <c r="M79" i="2"/>
  <c r="S74" i="2" l="1"/>
  <c r="Z74" i="2" s="1"/>
  <c r="AC73" i="2"/>
  <c r="AD72" i="2" s="1"/>
  <c r="Q77" i="2"/>
  <c r="S76" i="2"/>
  <c r="AB78" i="2"/>
  <c r="V78" i="2"/>
  <c r="N79" i="2"/>
  <c r="O79" i="2" s="1"/>
  <c r="C83" i="2"/>
  <c r="A84" i="2"/>
  <c r="AB77" i="2"/>
  <c r="V77" i="2"/>
  <c r="H81" i="2"/>
  <c r="I81" i="2" s="1"/>
  <c r="F82" i="2"/>
  <c r="G82" i="2" s="1"/>
  <c r="J79" i="2"/>
  <c r="K80" i="2"/>
  <c r="O78" i="2"/>
  <c r="L80" i="2" l="1"/>
  <c r="M80" i="2" s="1"/>
  <c r="N80" i="2" s="1"/>
  <c r="O80" i="2" s="1"/>
  <c r="T74" i="2"/>
  <c r="AA74" i="2" s="1"/>
  <c r="AC74" i="2" s="1"/>
  <c r="X77" i="2"/>
  <c r="R77" i="2"/>
  <c r="Z76" i="2"/>
  <c r="T76" i="2"/>
  <c r="AA76" i="2" s="1"/>
  <c r="P79" i="2"/>
  <c r="W79" i="2" s="1"/>
  <c r="C84" i="2"/>
  <c r="A85" i="2"/>
  <c r="H82" i="2"/>
  <c r="I82" i="2" s="1"/>
  <c r="U79" i="2"/>
  <c r="P78" i="2"/>
  <c r="W78" i="2" s="1"/>
  <c r="F83" i="2"/>
  <c r="G83" i="2" s="1"/>
  <c r="J80" i="2"/>
  <c r="K81" i="2"/>
  <c r="AC76" i="2" l="1"/>
  <c r="AD75" i="2" s="1"/>
  <c r="L81" i="2"/>
  <c r="M81" i="2" s="1"/>
  <c r="N81" i="2" s="1"/>
  <c r="O81" i="2" s="1"/>
  <c r="Q78" i="2"/>
  <c r="X78" i="2" s="1"/>
  <c r="Y77" i="2"/>
  <c r="S77" i="2"/>
  <c r="Z77" i="2" s="1"/>
  <c r="Q79" i="2"/>
  <c r="X79" i="2" s="1"/>
  <c r="U80" i="2"/>
  <c r="AB80" i="2" s="1"/>
  <c r="J81" i="2"/>
  <c r="K82" i="2"/>
  <c r="L82" i="2" s="1"/>
  <c r="F84" i="2"/>
  <c r="G84" i="2" s="1"/>
  <c r="P80" i="2"/>
  <c r="W80" i="2" s="1"/>
  <c r="A86" i="2"/>
  <c r="C85" i="2"/>
  <c r="H83" i="2"/>
  <c r="I83" i="2" s="1"/>
  <c r="AD73" i="2"/>
  <c r="AD74" i="2"/>
  <c r="AB79" i="2"/>
  <c r="V79" i="2"/>
  <c r="R78" i="2" l="1"/>
  <c r="S78" i="2" s="1"/>
  <c r="Z78" i="2" s="1"/>
  <c r="U81" i="2"/>
  <c r="AB81" i="2" s="1"/>
  <c r="Q80" i="2"/>
  <c r="X80" i="2" s="1"/>
  <c r="T77" i="2"/>
  <c r="AA77" i="2" s="1"/>
  <c r="AC77" i="2" s="1"/>
  <c r="AD76" i="2" s="1"/>
  <c r="R79" i="2"/>
  <c r="Y79" i="2" s="1"/>
  <c r="V80" i="2"/>
  <c r="J82" i="2"/>
  <c r="K83" i="2"/>
  <c r="L83" i="2" s="1"/>
  <c r="A87" i="2"/>
  <c r="C86" i="2"/>
  <c r="P81" i="2"/>
  <c r="W81" i="2" s="1"/>
  <c r="F85" i="2"/>
  <c r="G85" i="2" s="1"/>
  <c r="H85" i="2" s="1"/>
  <c r="I85" i="2" s="1"/>
  <c r="K85" i="2" s="1"/>
  <c r="L85" i="2" s="1"/>
  <c r="H84" i="2"/>
  <c r="I84" i="2" s="1"/>
  <c r="M82" i="2"/>
  <c r="R80" i="2" l="1"/>
  <c r="Y80" i="2" s="1"/>
  <c r="Y78" i="2"/>
  <c r="V81" i="2"/>
  <c r="S79" i="2"/>
  <c r="Z79" i="2" s="1"/>
  <c r="N82" i="2"/>
  <c r="U82" i="2" s="1"/>
  <c r="AB82" i="2" s="1"/>
  <c r="A88" i="2"/>
  <c r="C87" i="2"/>
  <c r="Q81" i="2"/>
  <c r="T78" i="2"/>
  <c r="AA78" i="2" s="1"/>
  <c r="F86" i="2"/>
  <c r="G86" i="2" s="1"/>
  <c r="J83" i="2"/>
  <c r="K84" i="2"/>
  <c r="M85" i="2"/>
  <c r="J84" i="2"/>
  <c r="M83" i="2"/>
  <c r="AC78" i="2" l="1"/>
  <c r="AD77" i="2" s="1"/>
  <c r="L84" i="2"/>
  <c r="M84" i="2" s="1"/>
  <c r="N84" i="2" s="1"/>
  <c r="U84" i="2" s="1"/>
  <c r="AB84" i="2" s="1"/>
  <c r="S80" i="2"/>
  <c r="Z80" i="2" s="1"/>
  <c r="T79" i="2"/>
  <c r="AA79" i="2" s="1"/>
  <c r="AC79" i="2" s="1"/>
  <c r="V82" i="2"/>
  <c r="O82" i="2"/>
  <c r="P82" i="2" s="1"/>
  <c r="W82" i="2" s="1"/>
  <c r="N85" i="2"/>
  <c r="U85" i="2" s="1"/>
  <c r="N83" i="2"/>
  <c r="O83" i="2" s="1"/>
  <c r="X81" i="2"/>
  <c r="H86" i="2"/>
  <c r="I86" i="2" s="1"/>
  <c r="R81" i="2"/>
  <c r="Y81" i="2" s="1"/>
  <c r="F87" i="2"/>
  <c r="G87" i="2" s="1"/>
  <c r="C88" i="2"/>
  <c r="A89" i="2"/>
  <c r="AD78" i="2" l="1"/>
  <c r="T80" i="2"/>
  <c r="AA80" i="2" s="1"/>
  <c r="AC80" i="2" s="1"/>
  <c r="AD79" i="2" s="1"/>
  <c r="Q82" i="2"/>
  <c r="X82" i="2" s="1"/>
  <c r="V84" i="2"/>
  <c r="O84" i="2"/>
  <c r="P84" i="2" s="1"/>
  <c r="W84" i="2" s="1"/>
  <c r="S81" i="2"/>
  <c r="Z81" i="2" s="1"/>
  <c r="J85" i="2"/>
  <c r="K86" i="2"/>
  <c r="L86" i="2" s="1"/>
  <c r="AB85" i="2"/>
  <c r="V85" i="2"/>
  <c r="F88" i="2"/>
  <c r="G88" i="2" s="1"/>
  <c r="C89" i="2"/>
  <c r="A90" i="2"/>
  <c r="H87" i="2"/>
  <c r="I87" i="2" s="1"/>
  <c r="O85" i="2"/>
  <c r="P83" i="2"/>
  <c r="W83" i="2" s="1"/>
  <c r="U83" i="2"/>
  <c r="T81" i="2" l="1"/>
  <c r="AA81" i="2" s="1"/>
  <c r="AC81" i="2" s="1"/>
  <c r="AD80" i="2" s="1"/>
  <c r="R82" i="2"/>
  <c r="Y82" i="2" s="1"/>
  <c r="J86" i="2"/>
  <c r="K87" i="2"/>
  <c r="A91" i="2"/>
  <c r="C90" i="2"/>
  <c r="AB83" i="2"/>
  <c r="V83" i="2"/>
  <c r="Q84" i="2"/>
  <c r="F89" i="2"/>
  <c r="G89" i="2" s="1"/>
  <c r="H88" i="2"/>
  <c r="I88" i="2" s="1"/>
  <c r="Q83" i="2"/>
  <c r="P85" i="2"/>
  <c r="W85" i="2" s="1"/>
  <c r="M86" i="2"/>
  <c r="L87" i="2" l="1"/>
  <c r="M87" i="2" s="1"/>
  <c r="N87" i="2" s="1"/>
  <c r="U87" i="2" s="1"/>
  <c r="AB87" i="2" s="1"/>
  <c r="S82" i="2"/>
  <c r="T82" i="2" s="1"/>
  <c r="AA82" i="2" s="1"/>
  <c r="Q85" i="2"/>
  <c r="X85" i="2" s="1"/>
  <c r="N86" i="2"/>
  <c r="U86" i="2" s="1"/>
  <c r="AB86" i="2" s="1"/>
  <c r="J87" i="2"/>
  <c r="K88" i="2"/>
  <c r="X84" i="2"/>
  <c r="R84" i="2"/>
  <c r="F90" i="2"/>
  <c r="G90" i="2" s="1"/>
  <c r="H89" i="2"/>
  <c r="I89" i="2" s="1"/>
  <c r="C91" i="2"/>
  <c r="A92" i="2"/>
  <c r="X83" i="2"/>
  <c r="R83" i="2"/>
  <c r="Y83" i="2" s="1"/>
  <c r="L88" i="2" l="1"/>
  <c r="M88" i="2" s="1"/>
  <c r="N88" i="2" s="1"/>
  <c r="U88" i="2" s="1"/>
  <c r="AB88" i="2" s="1"/>
  <c r="O86" i="2"/>
  <c r="P86" i="2" s="1"/>
  <c r="W86" i="2" s="1"/>
  <c r="Z82" i="2"/>
  <c r="AC82" i="2" s="1"/>
  <c r="AD81" i="2" s="1"/>
  <c r="O87" i="2"/>
  <c r="P87" i="2" s="1"/>
  <c r="W87" i="2" s="1"/>
  <c r="V87" i="2"/>
  <c r="R85" i="2"/>
  <c r="Y85" i="2" s="1"/>
  <c r="J88" i="2"/>
  <c r="K89" i="2"/>
  <c r="L89" i="2" s="1"/>
  <c r="H90" i="2"/>
  <c r="I90" i="2" s="1"/>
  <c r="S83" i="2"/>
  <c r="Z83" i="2" s="1"/>
  <c r="Y84" i="2"/>
  <c r="S84" i="2"/>
  <c r="Z84" i="2" s="1"/>
  <c r="A93" i="2"/>
  <c r="C92" i="2"/>
  <c r="F91" i="2"/>
  <c r="G91" i="2" s="1"/>
  <c r="V86" i="2"/>
  <c r="Q87" i="2" l="1"/>
  <c r="X87" i="2" s="1"/>
  <c r="V88" i="2"/>
  <c r="O88" i="2"/>
  <c r="P88" i="2" s="1"/>
  <c r="W88" i="2" s="1"/>
  <c r="S85" i="2"/>
  <c r="Z85" i="2" s="1"/>
  <c r="T84" i="2"/>
  <c r="AA84" i="2" s="1"/>
  <c r="AC84" i="2" s="1"/>
  <c r="Q86" i="2"/>
  <c r="J89" i="2"/>
  <c r="K90" i="2"/>
  <c r="H91" i="2"/>
  <c r="I91" i="2" s="1"/>
  <c r="K91" i="2" s="1"/>
  <c r="F92" i="2"/>
  <c r="G92" i="2" s="1"/>
  <c r="H92" i="2" s="1"/>
  <c r="I92" i="2" s="1"/>
  <c r="K92" i="2" s="1"/>
  <c r="M89" i="2"/>
  <c r="T83" i="2"/>
  <c r="AA83" i="2" s="1"/>
  <c r="AC83" i="2" s="1"/>
  <c r="AD82" i="2" s="1"/>
  <c r="C93" i="2"/>
  <c r="A94" i="2"/>
  <c r="L92" i="2" l="1"/>
  <c r="M92" i="2" s="1"/>
  <c r="N92" i="2" s="1"/>
  <c r="U92" i="2" s="1"/>
  <c r="L91" i="2"/>
  <c r="M91" i="2" s="1"/>
  <c r="N91" i="2" s="1"/>
  <c r="O91" i="2" s="1"/>
  <c r="L90" i="2"/>
  <c r="M90" i="2" s="1"/>
  <c r="N90" i="2" s="1"/>
  <c r="U90" i="2" s="1"/>
  <c r="AB90" i="2" s="1"/>
  <c r="R87" i="2"/>
  <c r="Y87" i="2" s="1"/>
  <c r="T85" i="2"/>
  <c r="AA85" i="2" s="1"/>
  <c r="AC85" i="2" s="1"/>
  <c r="AD84" i="2" s="1"/>
  <c r="X86" i="2"/>
  <c r="R86" i="2"/>
  <c r="N89" i="2"/>
  <c r="O89" i="2" s="1"/>
  <c r="Q88" i="2"/>
  <c r="X88" i="2" s="1"/>
  <c r="C94" i="2"/>
  <c r="A95" i="2"/>
  <c r="F93" i="2"/>
  <c r="G93" i="2" s="1"/>
  <c r="J91" i="2"/>
  <c r="J90" i="2"/>
  <c r="AD83" i="2"/>
  <c r="S87" i="2" l="1"/>
  <c r="Z87" i="2" s="1"/>
  <c r="U89" i="2"/>
  <c r="AB89" i="2" s="1"/>
  <c r="U91" i="2"/>
  <c r="AB91" i="2" s="1"/>
  <c r="O90" i="2"/>
  <c r="P90" i="2" s="1"/>
  <c r="W90" i="2" s="1"/>
  <c r="V90" i="2"/>
  <c r="Y86" i="2"/>
  <c r="S86" i="2"/>
  <c r="AB92" i="2"/>
  <c r="V92" i="2"/>
  <c r="P91" i="2"/>
  <c r="W91" i="2" s="1"/>
  <c r="H93" i="2"/>
  <c r="I93" i="2" s="1"/>
  <c r="O92" i="2"/>
  <c r="C95" i="2"/>
  <c r="A96" i="2"/>
  <c r="F94" i="2"/>
  <c r="G94" i="2" s="1"/>
  <c r="P89" i="2"/>
  <c r="W89" i="2" s="1"/>
  <c r="R88" i="2"/>
  <c r="Y88" i="2" s="1"/>
  <c r="T87" i="2" l="1"/>
  <c r="AA87" i="2" s="1"/>
  <c r="AC87" i="2" s="1"/>
  <c r="V89" i="2"/>
  <c r="V91" i="2"/>
  <c r="Q91" i="2"/>
  <c r="X91" i="2" s="1"/>
  <c r="Q90" i="2"/>
  <c r="X90" i="2" s="1"/>
  <c r="S88" i="2"/>
  <c r="Z88" i="2" s="1"/>
  <c r="Q89" i="2"/>
  <c r="X89" i="2" s="1"/>
  <c r="Z86" i="2"/>
  <c r="T86" i="2"/>
  <c r="AA86" i="2" s="1"/>
  <c r="J92" i="2"/>
  <c r="K93" i="2"/>
  <c r="C96" i="2"/>
  <c r="A97" i="2"/>
  <c r="F95" i="2"/>
  <c r="G95" i="2" s="1"/>
  <c r="P92" i="2"/>
  <c r="W92" i="2" s="1"/>
  <c r="H94" i="2"/>
  <c r="I94" i="2" s="1"/>
  <c r="R91" i="2" l="1"/>
  <c r="Y91" i="2" s="1"/>
  <c r="L93" i="2"/>
  <c r="M93" i="2" s="1"/>
  <c r="N93" i="2" s="1"/>
  <c r="O93" i="2" s="1"/>
  <c r="T88" i="2"/>
  <c r="AA88" i="2" s="1"/>
  <c r="AC88" i="2" s="1"/>
  <c r="AD87" i="2" s="1"/>
  <c r="R89" i="2"/>
  <c r="Y89" i="2" s="1"/>
  <c r="R90" i="2"/>
  <c r="Y90" i="2" s="1"/>
  <c r="AC86" i="2"/>
  <c r="Q92" i="2"/>
  <c r="X92" i="2" s="1"/>
  <c r="J93" i="2"/>
  <c r="K94" i="2"/>
  <c r="L94" i="2" s="1"/>
  <c r="H95" i="2"/>
  <c r="I95" i="2" s="1"/>
  <c r="A98" i="2"/>
  <c r="C97" i="2"/>
  <c r="F96" i="2"/>
  <c r="G96" i="2" s="1"/>
  <c r="S91" i="2" l="1"/>
  <c r="T91" i="2" s="1"/>
  <c r="AA91" i="2" s="1"/>
  <c r="S90" i="2"/>
  <c r="Z90" i="2" s="1"/>
  <c r="S89" i="2"/>
  <c r="Z89" i="2" s="1"/>
  <c r="R92" i="2"/>
  <c r="U93" i="2"/>
  <c r="AD85" i="2"/>
  <c r="AD86" i="2"/>
  <c r="J94" i="2"/>
  <c r="K95" i="2"/>
  <c r="H96" i="2"/>
  <c r="I96" i="2" s="1"/>
  <c r="F97" i="2"/>
  <c r="G97" i="2" s="1"/>
  <c r="M94" i="2"/>
  <c r="P93" i="2"/>
  <c r="W93" i="2" s="1"/>
  <c r="A99" i="2"/>
  <c r="C98" i="2"/>
  <c r="Z91" i="2" l="1"/>
  <c r="L95" i="2"/>
  <c r="M95" i="2" s="1"/>
  <c r="N95" i="2" s="1"/>
  <c r="U95" i="2" s="1"/>
  <c r="AB95" i="2" s="1"/>
  <c r="T90" i="2"/>
  <c r="AA90" i="2" s="1"/>
  <c r="AC90" i="2" s="1"/>
  <c r="T89" i="2"/>
  <c r="AA89" i="2" s="1"/>
  <c r="AC89" i="2" s="1"/>
  <c r="AD88" i="2" s="1"/>
  <c r="AB93" i="2"/>
  <c r="V93" i="2"/>
  <c r="Y92" i="2"/>
  <c r="S92" i="2"/>
  <c r="N94" i="2"/>
  <c r="U94" i="2" s="1"/>
  <c r="AB94" i="2" s="1"/>
  <c r="J95" i="2"/>
  <c r="K96" i="2"/>
  <c r="L96" i="2" s="1"/>
  <c r="H97" i="2"/>
  <c r="I97" i="2" s="1"/>
  <c r="AC91" i="2"/>
  <c r="F98" i="2"/>
  <c r="G98" i="2" s="1"/>
  <c r="C99" i="2"/>
  <c r="A100" i="2"/>
  <c r="Q93" i="2"/>
  <c r="AD90" i="2" l="1"/>
  <c r="AD89" i="2"/>
  <c r="V94" i="2"/>
  <c r="Z92" i="2"/>
  <c r="T92" i="2"/>
  <c r="AA92" i="2" s="1"/>
  <c r="AC92" i="2" s="1"/>
  <c r="AD91" i="2" s="1"/>
  <c r="F99" i="2"/>
  <c r="G99" i="2" s="1"/>
  <c r="X93" i="2"/>
  <c r="R93" i="2"/>
  <c r="Y93" i="2" s="1"/>
  <c r="H98" i="2"/>
  <c r="I98" i="2" s="1"/>
  <c r="J96" i="2"/>
  <c r="K97" i="2"/>
  <c r="L97" i="2" s="1"/>
  <c r="V95" i="2"/>
  <c r="M96" i="2"/>
  <c r="O95" i="2"/>
  <c r="A101" i="2"/>
  <c r="C100" i="2"/>
  <c r="O94" i="2"/>
  <c r="S93" i="2" l="1"/>
  <c r="Z93" i="2" s="1"/>
  <c r="N96" i="2"/>
  <c r="U96" i="2" s="1"/>
  <c r="AB96" i="2" s="1"/>
  <c r="J97" i="2"/>
  <c r="K98" i="2"/>
  <c r="M97" i="2"/>
  <c r="C101" i="2"/>
  <c r="A102" i="2"/>
  <c r="P94" i="2"/>
  <c r="W94" i="2" s="1"/>
  <c r="F100" i="2"/>
  <c r="G100" i="2" s="1"/>
  <c r="P95" i="2"/>
  <c r="W95" i="2" s="1"/>
  <c r="H99" i="2"/>
  <c r="I99" i="2" s="1"/>
  <c r="L98" i="2" l="1"/>
  <c r="M98" i="2" s="1"/>
  <c r="N98" i="2" s="1"/>
  <c r="U98" i="2" s="1"/>
  <c r="AB98" i="2" s="1"/>
  <c r="T93" i="2"/>
  <c r="AA93" i="2" s="1"/>
  <c r="AC93" i="2" s="1"/>
  <c r="AD92" i="2" s="1"/>
  <c r="Q95" i="2"/>
  <c r="X95" i="2" s="1"/>
  <c r="O96" i="2"/>
  <c r="P96" i="2" s="1"/>
  <c r="W96" i="2" s="1"/>
  <c r="V96" i="2"/>
  <c r="J98" i="2"/>
  <c r="K99" i="2"/>
  <c r="L99" i="2" s="1"/>
  <c r="A103" i="2"/>
  <c r="C102" i="2"/>
  <c r="F101" i="2"/>
  <c r="G101" i="2" s="1"/>
  <c r="H101" i="2" s="1"/>
  <c r="I101" i="2" s="1"/>
  <c r="N97" i="2"/>
  <c r="O97" i="2" s="1"/>
  <c r="H100" i="2"/>
  <c r="I100" i="2" s="1"/>
  <c r="Q94" i="2"/>
  <c r="X94" i="2" s="1"/>
  <c r="R95" i="2" l="1"/>
  <c r="S95" i="2" s="1"/>
  <c r="V98" i="2"/>
  <c r="U97" i="2"/>
  <c r="AB97" i="2" s="1"/>
  <c r="Q96" i="2"/>
  <c r="X96" i="2" s="1"/>
  <c r="R94" i="2"/>
  <c r="Y94" i="2" s="1"/>
  <c r="J99" i="2"/>
  <c r="K100" i="2"/>
  <c r="L100" i="2" s="1"/>
  <c r="J100" i="2"/>
  <c r="K101" i="2"/>
  <c r="F102" i="2"/>
  <c r="G102" i="2" s="1"/>
  <c r="H102" i="2" s="1"/>
  <c r="I102" i="2" s="1"/>
  <c r="J101" i="2" s="1"/>
  <c r="M99" i="2"/>
  <c r="O98" i="2"/>
  <c r="A104" i="2"/>
  <c r="C103" i="2"/>
  <c r="P97" i="2"/>
  <c r="W97" i="2" s="1"/>
  <c r="L101" i="2" l="1"/>
  <c r="M101" i="2" s="1"/>
  <c r="N101" i="2" s="1"/>
  <c r="U101" i="2" s="1"/>
  <c r="AB101" i="2" s="1"/>
  <c r="R96" i="2"/>
  <c r="Y96" i="2" s="1"/>
  <c r="V97" i="2"/>
  <c r="S94" i="2"/>
  <c r="Z94" i="2" s="1"/>
  <c r="Y95" i="2"/>
  <c r="Z95" i="2"/>
  <c r="T95" i="2"/>
  <c r="AA95" i="2" s="1"/>
  <c r="N99" i="2"/>
  <c r="U99" i="2" s="1"/>
  <c r="AB99" i="2" s="1"/>
  <c r="K102" i="2"/>
  <c r="L102" i="2" s="1"/>
  <c r="Q97" i="2"/>
  <c r="F103" i="2"/>
  <c r="G103" i="2" s="1"/>
  <c r="H103" i="2" s="1"/>
  <c r="I103" i="2" s="1"/>
  <c r="J102" i="2" s="1"/>
  <c r="C104" i="2"/>
  <c r="A105" i="2"/>
  <c r="M100" i="2"/>
  <c r="P98" i="2"/>
  <c r="W98" i="2" s="1"/>
  <c r="S96" i="2" l="1"/>
  <c r="Z96" i="2" s="1"/>
  <c r="T94" i="2"/>
  <c r="AA94" i="2" s="1"/>
  <c r="AC94" i="2" s="1"/>
  <c r="AD93" i="2" s="1"/>
  <c r="AC95" i="2"/>
  <c r="O101" i="2"/>
  <c r="P101" i="2" s="1"/>
  <c r="W101" i="2" s="1"/>
  <c r="V101" i="2"/>
  <c r="Q98" i="2"/>
  <c r="X98" i="2" s="1"/>
  <c r="N100" i="2"/>
  <c r="O100" i="2" s="1"/>
  <c r="K103" i="2"/>
  <c r="X97" i="2"/>
  <c r="R97" i="2"/>
  <c r="Y97" i="2" s="1"/>
  <c r="C105" i="2"/>
  <c r="A106" i="2"/>
  <c r="F104" i="2"/>
  <c r="G104" i="2" s="1"/>
  <c r="M102" i="2"/>
  <c r="V99" i="2"/>
  <c r="O99" i="2"/>
  <c r="L103" i="2" l="1"/>
  <c r="M103" i="2" s="1"/>
  <c r="N103" i="2" s="1"/>
  <c r="T96" i="2"/>
  <c r="AA96" i="2" s="1"/>
  <c r="AC96" i="2" s="1"/>
  <c r="AD95" i="2" s="1"/>
  <c r="AD94" i="2"/>
  <c r="U100" i="2"/>
  <c r="AB100" i="2" s="1"/>
  <c r="R98" i="2"/>
  <c r="Y98" i="2" s="1"/>
  <c r="Q101" i="2"/>
  <c r="X101" i="2" s="1"/>
  <c r="N102" i="2"/>
  <c r="O102" i="2" s="1"/>
  <c r="H104" i="2"/>
  <c r="I104" i="2" s="1"/>
  <c r="A107" i="2"/>
  <c r="C106" i="2"/>
  <c r="P100" i="2"/>
  <c r="W100" i="2" s="1"/>
  <c r="S97" i="2"/>
  <c r="P99" i="2"/>
  <c r="W99" i="2" s="1"/>
  <c r="F105" i="2"/>
  <c r="G105" i="2" s="1"/>
  <c r="H105" i="2" s="1"/>
  <c r="I105" i="2" s="1"/>
  <c r="K105" i="2" s="1"/>
  <c r="L105" i="2" l="1"/>
  <c r="M105" i="2" s="1"/>
  <c r="N105" i="2" s="1"/>
  <c r="O105" i="2" s="1"/>
  <c r="V100" i="2"/>
  <c r="R101" i="2"/>
  <c r="S101" i="2" s="1"/>
  <c r="Z101" i="2" s="1"/>
  <c r="S98" i="2"/>
  <c r="Z98" i="2" s="1"/>
  <c r="Q100" i="2"/>
  <c r="X100" i="2" s="1"/>
  <c r="U102" i="2"/>
  <c r="Q99" i="2"/>
  <c r="X99" i="2" s="1"/>
  <c r="U103" i="2"/>
  <c r="AB103" i="2" s="1"/>
  <c r="O103" i="2"/>
  <c r="P103" i="2" s="1"/>
  <c r="W103" i="2" s="1"/>
  <c r="J104" i="2"/>
  <c r="J103" i="2"/>
  <c r="K104" i="2"/>
  <c r="L104" i="2" s="1"/>
  <c r="Z97" i="2"/>
  <c r="T97" i="2"/>
  <c r="AA97" i="2" s="1"/>
  <c r="F106" i="2"/>
  <c r="G106" i="2" s="1"/>
  <c r="C107" i="2"/>
  <c r="A108" i="2"/>
  <c r="P102" i="2"/>
  <c r="W102" i="2" s="1"/>
  <c r="Y101" i="2" l="1"/>
  <c r="T98" i="2"/>
  <c r="AA98" i="2" s="1"/>
  <c r="AC98" i="2" s="1"/>
  <c r="R99" i="2"/>
  <c r="R100" i="2"/>
  <c r="AB102" i="2"/>
  <c r="V102" i="2"/>
  <c r="Q103" i="2"/>
  <c r="X103" i="2" s="1"/>
  <c r="T101" i="2"/>
  <c r="AA101" i="2" s="1"/>
  <c r="V103" i="2"/>
  <c r="H106" i="2"/>
  <c r="I106" i="2" s="1"/>
  <c r="C108" i="2"/>
  <c r="A109" i="2"/>
  <c r="F107" i="2"/>
  <c r="G107" i="2" s="1"/>
  <c r="H107" i="2" s="1"/>
  <c r="I107" i="2" s="1"/>
  <c r="K107" i="2" s="1"/>
  <c r="P105" i="2"/>
  <c r="W105" i="2" s="1"/>
  <c r="U105" i="2"/>
  <c r="M104" i="2"/>
  <c r="Q102" i="2"/>
  <c r="X102" i="2" s="1"/>
  <c r="AC97" i="2"/>
  <c r="L107" i="2" l="1"/>
  <c r="M107" i="2" s="1"/>
  <c r="N107" i="2" s="1"/>
  <c r="O107" i="2" s="1"/>
  <c r="AC101" i="2"/>
  <c r="R103" i="2"/>
  <c r="Y103" i="2" s="1"/>
  <c r="Q105" i="2"/>
  <c r="X105" i="2" s="1"/>
  <c r="Y99" i="2"/>
  <c r="S99" i="2"/>
  <c r="Y100" i="2"/>
  <c r="S100" i="2"/>
  <c r="J105" i="2"/>
  <c r="K106" i="2"/>
  <c r="N104" i="2"/>
  <c r="O104" i="2" s="1"/>
  <c r="AD96" i="2"/>
  <c r="AD97" i="2"/>
  <c r="R102" i="2"/>
  <c r="Y102" i="2" s="1"/>
  <c r="A110" i="2"/>
  <c r="C109" i="2"/>
  <c r="J106" i="2"/>
  <c r="F108" i="2"/>
  <c r="G108" i="2" s="1"/>
  <c r="H108" i="2" s="1"/>
  <c r="I108" i="2" s="1"/>
  <c r="J107" i="2" s="1"/>
  <c r="AB105" i="2"/>
  <c r="V105" i="2"/>
  <c r="L106" i="2" l="1"/>
  <c r="M106" i="2" s="1"/>
  <c r="N106" i="2" s="1"/>
  <c r="O106" i="2" s="1"/>
  <c r="S103" i="2"/>
  <c r="Z103" i="2" s="1"/>
  <c r="R105" i="2"/>
  <c r="Y105" i="2" s="1"/>
  <c r="Z99" i="2"/>
  <c r="T99" i="2"/>
  <c r="AA99" i="2" s="1"/>
  <c r="AC99" i="2" s="1"/>
  <c r="AD98" i="2" s="1"/>
  <c r="Z100" i="2"/>
  <c r="T100" i="2"/>
  <c r="AA100" i="2" s="1"/>
  <c r="AC100" i="2" s="1"/>
  <c r="K108" i="2"/>
  <c r="S102" i="2"/>
  <c r="F109" i="2"/>
  <c r="G109" i="2" s="1"/>
  <c r="P107" i="2"/>
  <c r="W107" i="2" s="1"/>
  <c r="P104" i="2"/>
  <c r="W104" i="2" s="1"/>
  <c r="U104" i="2"/>
  <c r="A111" i="2"/>
  <c r="C110" i="2"/>
  <c r="U107" i="2"/>
  <c r="L108" i="2" l="1"/>
  <c r="M108" i="2" s="1"/>
  <c r="T103" i="2"/>
  <c r="AA103" i="2" s="1"/>
  <c r="AC103" i="2" s="1"/>
  <c r="S105" i="2"/>
  <c r="Z105" i="2" s="1"/>
  <c r="AD100" i="2"/>
  <c r="AD99" i="2"/>
  <c r="Q107" i="2"/>
  <c r="X107" i="2" s="1"/>
  <c r="Z102" i="2"/>
  <c r="T102" i="2"/>
  <c r="AA102" i="2" s="1"/>
  <c r="AB107" i="2"/>
  <c r="V107" i="2"/>
  <c r="H109" i="2"/>
  <c r="I109" i="2" s="1"/>
  <c r="F110" i="2"/>
  <c r="G110" i="2" s="1"/>
  <c r="A112" i="2"/>
  <c r="C111" i="2"/>
  <c r="P106" i="2"/>
  <c r="W106" i="2" s="1"/>
  <c r="U106" i="2"/>
  <c r="AB104" i="2"/>
  <c r="V104" i="2"/>
  <c r="Q104" i="2"/>
  <c r="N108" i="2" l="1"/>
  <c r="U108" i="2" s="1"/>
  <c r="AB108" i="2" s="1"/>
  <c r="T105" i="2"/>
  <c r="AA105" i="2" s="1"/>
  <c r="AC105" i="2" s="1"/>
  <c r="R107" i="2"/>
  <c r="Y107" i="2" s="1"/>
  <c r="AC102" i="2"/>
  <c r="H110" i="2"/>
  <c r="I110" i="2" s="1"/>
  <c r="C112" i="2"/>
  <c r="A113" i="2"/>
  <c r="AB106" i="2"/>
  <c r="V106" i="2"/>
  <c r="F111" i="2"/>
  <c r="G111" i="2" s="1"/>
  <c r="H111" i="2" s="1"/>
  <c r="I111" i="2" s="1"/>
  <c r="X104" i="2"/>
  <c r="R104" i="2"/>
  <c r="Y104" i="2" s="1"/>
  <c r="J108" i="2"/>
  <c r="K109" i="2"/>
  <c r="L109" i="2" s="1"/>
  <c r="Q106" i="2"/>
  <c r="V108" i="2" l="1"/>
  <c r="O108" i="2"/>
  <c r="P108" i="2" s="1"/>
  <c r="W108" i="2" s="1"/>
  <c r="J110" i="2"/>
  <c r="S107" i="2"/>
  <c r="T107" i="2" s="1"/>
  <c r="AA107" i="2" s="1"/>
  <c r="AD101" i="2"/>
  <c r="AD102" i="2"/>
  <c r="X106" i="2"/>
  <c r="R106" i="2"/>
  <c r="Y106" i="2" s="1"/>
  <c r="K111" i="2"/>
  <c r="A114" i="2"/>
  <c r="C113" i="2"/>
  <c r="S104" i="2"/>
  <c r="Z104" i="2" s="1"/>
  <c r="M109" i="2"/>
  <c r="F112" i="2"/>
  <c r="G112" i="2" s="1"/>
  <c r="H112" i="2" s="1"/>
  <c r="I112" i="2" s="1"/>
  <c r="J111" i="2" s="1"/>
  <c r="J109" i="2"/>
  <c r="K110" i="2"/>
  <c r="L110" i="2" s="1"/>
  <c r="Q108" i="2" l="1"/>
  <c r="X108" i="2" s="1"/>
  <c r="L111" i="2"/>
  <c r="M111" i="2" s="1"/>
  <c r="N111" i="2" s="1"/>
  <c r="O111" i="2" s="1"/>
  <c r="Z107" i="2"/>
  <c r="AC107" i="2" s="1"/>
  <c r="N109" i="2"/>
  <c r="U109" i="2" s="1"/>
  <c r="F113" i="2"/>
  <c r="G113" i="2" s="1"/>
  <c r="H113" i="2" s="1"/>
  <c r="I113" i="2" s="1"/>
  <c r="J112" i="2" s="1"/>
  <c r="M110" i="2"/>
  <c r="K112" i="2"/>
  <c r="S106" i="2"/>
  <c r="C114" i="2"/>
  <c r="A115" i="2"/>
  <c r="T104" i="2"/>
  <c r="AA104" i="2" s="1"/>
  <c r="AC104" i="2" s="1"/>
  <c r="R108" i="2" l="1"/>
  <c r="S108" i="2" s="1"/>
  <c r="Z108" i="2" s="1"/>
  <c r="L112" i="2"/>
  <c r="M112" i="2" s="1"/>
  <c r="N112" i="2" s="1"/>
  <c r="AD104" i="2"/>
  <c r="AD103" i="2"/>
  <c r="N110" i="2"/>
  <c r="O110" i="2" s="1"/>
  <c r="AB109" i="2"/>
  <c r="V109" i="2"/>
  <c r="P111" i="2"/>
  <c r="W111" i="2" s="1"/>
  <c r="F114" i="2"/>
  <c r="G114" i="2" s="1"/>
  <c r="H114" i="2" s="1"/>
  <c r="I114" i="2" s="1"/>
  <c r="J113" i="2" s="1"/>
  <c r="O109" i="2"/>
  <c r="K113" i="2"/>
  <c r="L113" i="2" s="1"/>
  <c r="U111" i="2"/>
  <c r="AB111" i="2" s="1"/>
  <c r="A116" i="2"/>
  <c r="C115" i="2"/>
  <c r="Z106" i="2"/>
  <c r="T106" i="2"/>
  <c r="AA106" i="2" s="1"/>
  <c r="Y108" i="2" l="1"/>
  <c r="T108" i="2"/>
  <c r="AA108" i="2" s="1"/>
  <c r="P110" i="2"/>
  <c r="W110" i="2" s="1"/>
  <c r="O112" i="2"/>
  <c r="U112" i="2"/>
  <c r="AB112" i="2" s="1"/>
  <c r="AC106" i="2"/>
  <c r="Q111" i="2"/>
  <c r="F115" i="2"/>
  <c r="G115" i="2" s="1"/>
  <c r="H115" i="2" s="1"/>
  <c r="I115" i="2" s="1"/>
  <c r="J114" i="2" s="1"/>
  <c r="A117" i="2"/>
  <c r="C116" i="2"/>
  <c r="M113" i="2"/>
  <c r="U110" i="2"/>
  <c r="AB110" i="2" s="1"/>
  <c r="P109" i="2"/>
  <c r="W109" i="2" s="1"/>
  <c r="V111" i="2"/>
  <c r="K114" i="2"/>
  <c r="AC108" i="2" l="1"/>
  <c r="AD107" i="2" s="1"/>
  <c r="L114" i="2"/>
  <c r="M114" i="2" s="1"/>
  <c r="N114" i="2" s="1"/>
  <c r="U114" i="2" s="1"/>
  <c r="AB114" i="2" s="1"/>
  <c r="Q109" i="2"/>
  <c r="X109" i="2" s="1"/>
  <c r="F116" i="2"/>
  <c r="G116" i="2" s="1"/>
  <c r="H116" i="2" s="1"/>
  <c r="I116" i="2" s="1"/>
  <c r="J115" i="2" s="1"/>
  <c r="X111" i="2"/>
  <c r="R111" i="2"/>
  <c r="AD105" i="2"/>
  <c r="AD106" i="2"/>
  <c r="P112" i="2"/>
  <c r="W112" i="2" s="1"/>
  <c r="N113" i="2"/>
  <c r="O113" i="2" s="1"/>
  <c r="V110" i="2"/>
  <c r="Q110" i="2"/>
  <c r="C117" i="2"/>
  <c r="A118" i="2"/>
  <c r="K115" i="2"/>
  <c r="L115" i="2" s="1"/>
  <c r="V112" i="2"/>
  <c r="V114" i="2" l="1"/>
  <c r="O114" i="2"/>
  <c r="P114" i="2" s="1"/>
  <c r="W114" i="2" s="1"/>
  <c r="R109" i="2"/>
  <c r="Y109" i="2" s="1"/>
  <c r="A119" i="2"/>
  <c r="C118" i="2"/>
  <c r="F117" i="2"/>
  <c r="G117" i="2" s="1"/>
  <c r="H117" i="2" s="1"/>
  <c r="I117" i="2" s="1"/>
  <c r="J116" i="2" s="1"/>
  <c r="M115" i="2"/>
  <c r="Q112" i="2"/>
  <c r="P113" i="2"/>
  <c r="W113" i="2" s="1"/>
  <c r="X110" i="2"/>
  <c r="R110" i="2"/>
  <c r="Y110" i="2" s="1"/>
  <c r="S111" i="2"/>
  <c r="Y111" i="2"/>
  <c r="K116" i="2"/>
  <c r="L116" i="2" s="1"/>
  <c r="U113" i="2"/>
  <c r="AB113" i="2" s="1"/>
  <c r="Q114" i="2" l="1"/>
  <c r="X114" i="2" s="1"/>
  <c r="V113" i="2"/>
  <c r="S109" i="2"/>
  <c r="Z109" i="2" s="1"/>
  <c r="Q113" i="2"/>
  <c r="X113" i="2" s="1"/>
  <c r="N115" i="2"/>
  <c r="O115" i="2" s="1"/>
  <c r="K117" i="2"/>
  <c r="L117" i="2" s="1"/>
  <c r="S110" i="2"/>
  <c r="Z110" i="2" s="1"/>
  <c r="F118" i="2"/>
  <c r="G118" i="2" s="1"/>
  <c r="X112" i="2"/>
  <c r="R112" i="2"/>
  <c r="Y112" i="2" s="1"/>
  <c r="Z111" i="2"/>
  <c r="T111" i="2"/>
  <c r="AA111" i="2" s="1"/>
  <c r="M116" i="2"/>
  <c r="C119" i="2"/>
  <c r="A120" i="2"/>
  <c r="T109" i="2" l="1"/>
  <c r="AA109" i="2" s="1"/>
  <c r="AC109" i="2" s="1"/>
  <c r="AD108" i="2" s="1"/>
  <c r="R113" i="2"/>
  <c r="Y113" i="2" s="1"/>
  <c r="R114" i="2"/>
  <c r="Y114" i="2" s="1"/>
  <c r="U115" i="2"/>
  <c r="AB115" i="2" s="1"/>
  <c r="AC111" i="2"/>
  <c r="F119" i="2"/>
  <c r="G119" i="2" s="1"/>
  <c r="H119" i="2" s="1"/>
  <c r="I119" i="2" s="1"/>
  <c r="K119" i="2" s="1"/>
  <c r="L119" i="2" s="1"/>
  <c r="C120" i="2"/>
  <c r="A121" i="2"/>
  <c r="N116" i="2"/>
  <c r="O116" i="2" s="1"/>
  <c r="H118" i="2"/>
  <c r="I118" i="2" s="1"/>
  <c r="S112" i="2"/>
  <c r="Z112" i="2" s="1"/>
  <c r="M117" i="2"/>
  <c r="T110" i="2"/>
  <c r="AA110" i="2" s="1"/>
  <c r="AC110" i="2" s="1"/>
  <c r="P115" i="2"/>
  <c r="W115" i="2" s="1"/>
  <c r="AD109" i="2" l="1"/>
  <c r="S113" i="2"/>
  <c r="Z113" i="2" s="1"/>
  <c r="V115" i="2"/>
  <c r="S114" i="2"/>
  <c r="Q115" i="2"/>
  <c r="X115" i="2" s="1"/>
  <c r="U116" i="2"/>
  <c r="AB116" i="2" s="1"/>
  <c r="N117" i="2"/>
  <c r="U117" i="2" s="1"/>
  <c r="AB117" i="2" s="1"/>
  <c r="P116" i="2"/>
  <c r="W116" i="2" s="1"/>
  <c r="M119" i="2"/>
  <c r="A122" i="2"/>
  <c r="C121" i="2"/>
  <c r="F120" i="2"/>
  <c r="G120" i="2" s="1"/>
  <c r="T112" i="2"/>
  <c r="AA112" i="2" s="1"/>
  <c r="AC112" i="2" s="1"/>
  <c r="AD111" i="2" s="1"/>
  <c r="J118" i="2"/>
  <c r="J117" i="2"/>
  <c r="K118" i="2"/>
  <c r="AD110" i="2"/>
  <c r="L118" i="2" l="1"/>
  <c r="M118" i="2" s="1"/>
  <c r="N118" i="2" s="1"/>
  <c r="O118" i="2" s="1"/>
  <c r="T113" i="2"/>
  <c r="AA113" i="2" s="1"/>
  <c r="AC113" i="2" s="1"/>
  <c r="V116" i="2"/>
  <c r="R115" i="2"/>
  <c r="Z114" i="2"/>
  <c r="T114" i="2"/>
  <c r="AA114" i="2" s="1"/>
  <c r="V117" i="2"/>
  <c r="O117" i="2"/>
  <c r="P117" i="2" s="1"/>
  <c r="W117" i="2" s="1"/>
  <c r="N119" i="2"/>
  <c r="U119" i="2" s="1"/>
  <c r="AB119" i="2" s="1"/>
  <c r="Q116" i="2"/>
  <c r="F121" i="2"/>
  <c r="G121" i="2" s="1"/>
  <c r="H121" i="2" s="1"/>
  <c r="I121" i="2" s="1"/>
  <c r="K121" i="2" s="1"/>
  <c r="L121" i="2" s="1"/>
  <c r="H120" i="2"/>
  <c r="I120" i="2" s="1"/>
  <c r="A123" i="2"/>
  <c r="C122" i="2"/>
  <c r="AC114" i="2" l="1"/>
  <c r="AD113" i="2" s="1"/>
  <c r="AD112" i="2"/>
  <c r="Y115" i="2"/>
  <c r="S115" i="2"/>
  <c r="V119" i="2"/>
  <c r="Q117" i="2"/>
  <c r="X117" i="2" s="1"/>
  <c r="U118" i="2"/>
  <c r="AB118" i="2" s="1"/>
  <c r="J119" i="2"/>
  <c r="K120" i="2"/>
  <c r="L120" i="2" s="1"/>
  <c r="P118" i="2"/>
  <c r="W118" i="2" s="1"/>
  <c r="F122" i="2"/>
  <c r="G122" i="2" s="1"/>
  <c r="M121" i="2"/>
  <c r="X116" i="2"/>
  <c r="R116" i="2"/>
  <c r="Y116" i="2" s="1"/>
  <c r="C123" i="2"/>
  <c r="A124" i="2"/>
  <c r="J120" i="2"/>
  <c r="O119" i="2"/>
  <c r="Z115" i="2" l="1"/>
  <c r="T115" i="2"/>
  <c r="AA115" i="2" s="1"/>
  <c r="S116" i="2"/>
  <c r="Z116" i="2" s="1"/>
  <c r="R117" i="2"/>
  <c r="Y117" i="2" s="1"/>
  <c r="V118" i="2"/>
  <c r="N121" i="2"/>
  <c r="O121" i="2" s="1"/>
  <c r="P119" i="2"/>
  <c r="W119" i="2" s="1"/>
  <c r="H122" i="2"/>
  <c r="I122" i="2" s="1"/>
  <c r="A125" i="2"/>
  <c r="C124" i="2"/>
  <c r="F123" i="2"/>
  <c r="G123" i="2" s="1"/>
  <c r="Q118" i="2"/>
  <c r="M120" i="2"/>
  <c r="AC115" i="2" l="1"/>
  <c r="AD114" i="2" s="1"/>
  <c r="T116" i="2"/>
  <c r="AA116" i="2" s="1"/>
  <c r="AC116" i="2" s="1"/>
  <c r="S117" i="2"/>
  <c r="Q119" i="2"/>
  <c r="X119" i="2" s="1"/>
  <c r="N120" i="2"/>
  <c r="O120" i="2" s="1"/>
  <c r="J121" i="2"/>
  <c r="K122" i="2"/>
  <c r="L122" i="2" s="1"/>
  <c r="X118" i="2"/>
  <c r="P121" i="2"/>
  <c r="W121" i="2" s="1"/>
  <c r="C125" i="2"/>
  <c r="A126" i="2"/>
  <c r="R118" i="2"/>
  <c r="Y118" i="2" s="1"/>
  <c r="H123" i="2"/>
  <c r="I123" i="2" s="1"/>
  <c r="F124" i="2"/>
  <c r="G124" i="2" s="1"/>
  <c r="U121" i="2"/>
  <c r="AD115" i="2" l="1"/>
  <c r="S118" i="2"/>
  <c r="Z118" i="2" s="1"/>
  <c r="U120" i="2"/>
  <c r="Z117" i="2"/>
  <c r="T117" i="2"/>
  <c r="AA117" i="2" s="1"/>
  <c r="R119" i="2"/>
  <c r="Y119" i="2" s="1"/>
  <c r="J122" i="2"/>
  <c r="K123" i="2"/>
  <c r="H124" i="2"/>
  <c r="I124" i="2" s="1"/>
  <c r="A127" i="2"/>
  <c r="C126" i="2"/>
  <c r="M122" i="2"/>
  <c r="AB121" i="2"/>
  <c r="V121" i="2"/>
  <c r="F125" i="2"/>
  <c r="G125" i="2" s="1"/>
  <c r="Q121" i="2"/>
  <c r="X121" i="2" s="1"/>
  <c r="P120" i="2"/>
  <c r="W120" i="2" s="1"/>
  <c r="L123" i="2" l="1"/>
  <c r="M123" i="2" s="1"/>
  <c r="N123" i="2" s="1"/>
  <c r="U123" i="2" s="1"/>
  <c r="AB123" i="2" s="1"/>
  <c r="T118" i="2"/>
  <c r="AA118" i="2" s="1"/>
  <c r="AC118" i="2" s="1"/>
  <c r="Q120" i="2"/>
  <c r="AB120" i="2"/>
  <c r="V120" i="2"/>
  <c r="S119" i="2"/>
  <c r="AC117" i="2"/>
  <c r="AD116" i="2" s="1"/>
  <c r="N122" i="2"/>
  <c r="U122" i="2" s="1"/>
  <c r="A128" i="2"/>
  <c r="C127" i="2"/>
  <c r="J123" i="2"/>
  <c r="K124" i="2"/>
  <c r="L124" i="2" s="1"/>
  <c r="F126" i="2"/>
  <c r="G126" i="2" s="1"/>
  <c r="H126" i="2" s="1"/>
  <c r="I126" i="2" s="1"/>
  <c r="K126" i="2" s="1"/>
  <c r="L126" i="2" s="1"/>
  <c r="R121" i="2"/>
  <c r="Y121" i="2" s="1"/>
  <c r="H125" i="2"/>
  <c r="I125" i="2" s="1"/>
  <c r="X120" i="2" l="1"/>
  <c r="R120" i="2"/>
  <c r="AD117" i="2"/>
  <c r="Z119" i="2"/>
  <c r="T119" i="2"/>
  <c r="AA119" i="2" s="1"/>
  <c r="AC119" i="2" s="1"/>
  <c r="AD118" i="2" s="1"/>
  <c r="J124" i="2"/>
  <c r="K125" i="2"/>
  <c r="M126" i="2"/>
  <c r="AB122" i="2"/>
  <c r="V122" i="2"/>
  <c r="S121" i="2"/>
  <c r="C128" i="2"/>
  <c r="A129" i="2"/>
  <c r="O122" i="2"/>
  <c r="V123" i="2"/>
  <c r="O123" i="2"/>
  <c r="M124" i="2"/>
  <c r="F127" i="2"/>
  <c r="G127" i="2" s="1"/>
  <c r="J125" i="2"/>
  <c r="L125" i="2" l="1"/>
  <c r="M125" i="2" s="1"/>
  <c r="N125" i="2" s="1"/>
  <c r="U125" i="2" s="1"/>
  <c r="AB125" i="2" s="1"/>
  <c r="Y120" i="2"/>
  <c r="S120" i="2"/>
  <c r="F128" i="2"/>
  <c r="G128" i="2" s="1"/>
  <c r="Z121" i="2"/>
  <c r="T121" i="2"/>
  <c r="AA121" i="2" s="1"/>
  <c r="H127" i="2"/>
  <c r="I127" i="2" s="1"/>
  <c r="N124" i="2"/>
  <c r="U124" i="2" s="1"/>
  <c r="AB124" i="2" s="1"/>
  <c r="P122" i="2"/>
  <c r="W122" i="2" s="1"/>
  <c r="C129" i="2"/>
  <c r="A130" i="2"/>
  <c r="N126" i="2"/>
  <c r="U126" i="2" s="1"/>
  <c r="AB126" i="2" s="1"/>
  <c r="P123" i="2"/>
  <c r="W123" i="2" s="1"/>
  <c r="AC121" i="2" l="1"/>
  <c r="T120" i="2"/>
  <c r="AA120" i="2" s="1"/>
  <c r="Z120" i="2"/>
  <c r="V124" i="2"/>
  <c r="Q123" i="2"/>
  <c r="O124" i="2"/>
  <c r="P124" i="2" s="1"/>
  <c r="W124" i="2" s="1"/>
  <c r="Q122" i="2"/>
  <c r="X122" i="2" s="1"/>
  <c r="J126" i="2"/>
  <c r="K127" i="2"/>
  <c r="L127" i="2" s="1"/>
  <c r="O126" i="2"/>
  <c r="V126" i="2"/>
  <c r="C130" i="2"/>
  <c r="A131" i="2"/>
  <c r="O125" i="2"/>
  <c r="F129" i="2"/>
  <c r="G129" i="2" s="1"/>
  <c r="V125" i="2"/>
  <c r="H128" i="2"/>
  <c r="I128" i="2" s="1"/>
  <c r="AC120" i="2" l="1"/>
  <c r="R122" i="2"/>
  <c r="Y122" i="2" s="1"/>
  <c r="X123" i="2"/>
  <c r="R123" i="2"/>
  <c r="Q124" i="2"/>
  <c r="F130" i="2"/>
  <c r="G130" i="2" s="1"/>
  <c r="H130" i="2" s="1"/>
  <c r="I130" i="2" s="1"/>
  <c r="K130" i="2" s="1"/>
  <c r="L130" i="2" s="1"/>
  <c r="C131" i="2"/>
  <c r="A132" i="2"/>
  <c r="P125" i="2"/>
  <c r="W125" i="2" s="1"/>
  <c r="J127" i="2"/>
  <c r="K128" i="2"/>
  <c r="H129" i="2"/>
  <c r="I129" i="2" s="1"/>
  <c r="P126" i="2"/>
  <c r="W126" i="2" s="1"/>
  <c r="M127" i="2"/>
  <c r="L128" i="2" l="1"/>
  <c r="M128" i="2" s="1"/>
  <c r="N128" i="2" s="1"/>
  <c r="U128" i="2" s="1"/>
  <c r="AB128" i="2" s="1"/>
  <c r="S122" i="2"/>
  <c r="T122" i="2" s="1"/>
  <c r="AA122" i="2" s="1"/>
  <c r="AD119" i="2"/>
  <c r="AD120" i="2"/>
  <c r="Q125" i="2"/>
  <c r="X125" i="2" s="1"/>
  <c r="S123" i="2"/>
  <c r="Y123" i="2"/>
  <c r="X124" i="2"/>
  <c r="R124" i="2"/>
  <c r="Y124" i="2" s="1"/>
  <c r="Q126" i="2"/>
  <c r="X126" i="2" s="1"/>
  <c r="J128" i="2"/>
  <c r="K129" i="2"/>
  <c r="N127" i="2"/>
  <c r="O127" i="2" s="1"/>
  <c r="F131" i="2"/>
  <c r="G131" i="2" s="1"/>
  <c r="C132" i="2"/>
  <c r="A133" i="2"/>
  <c r="M130" i="2"/>
  <c r="J129" i="2"/>
  <c r="L129" i="2" l="1"/>
  <c r="M129" i="2" s="1"/>
  <c r="N129" i="2" s="1"/>
  <c r="O129" i="2" s="1"/>
  <c r="Z122" i="2"/>
  <c r="AC122" i="2" s="1"/>
  <c r="AD121" i="2" s="1"/>
  <c r="R126" i="2"/>
  <c r="Y126" i="2" s="1"/>
  <c r="R125" i="2"/>
  <c r="S125" i="2" s="1"/>
  <c r="Z125" i="2" s="1"/>
  <c r="Z123" i="2"/>
  <c r="T123" i="2"/>
  <c r="AA123" i="2" s="1"/>
  <c r="S124" i="2"/>
  <c r="O128" i="2"/>
  <c r="P128" i="2" s="1"/>
  <c r="V128" i="2"/>
  <c r="P127" i="2"/>
  <c r="W127" i="2" s="1"/>
  <c r="H131" i="2"/>
  <c r="I131" i="2" s="1"/>
  <c r="F132" i="2"/>
  <c r="G132" i="2" s="1"/>
  <c r="H132" i="2" s="1"/>
  <c r="I132" i="2" s="1"/>
  <c r="N130" i="2"/>
  <c r="U130" i="2" s="1"/>
  <c r="AB130" i="2" s="1"/>
  <c r="U127" i="2"/>
  <c r="AB127" i="2" s="1"/>
  <c r="A134" i="2"/>
  <c r="C133" i="2"/>
  <c r="S126" i="2" l="1"/>
  <c r="Z126" i="2" s="1"/>
  <c r="W128" i="2"/>
  <c r="Q128" i="2"/>
  <c r="X128" i="2" s="1"/>
  <c r="Y125" i="2"/>
  <c r="AC123" i="2"/>
  <c r="AD122" i="2" s="1"/>
  <c r="U129" i="2"/>
  <c r="AB129" i="2" s="1"/>
  <c r="Q127" i="2"/>
  <c r="J131" i="2"/>
  <c r="Z124" i="2"/>
  <c r="T124" i="2"/>
  <c r="AA124" i="2" s="1"/>
  <c r="AC124" i="2" s="1"/>
  <c r="AD123" i="2" s="1"/>
  <c r="T125" i="2"/>
  <c r="AA125" i="2" s="1"/>
  <c r="P129" i="2"/>
  <c r="W129" i="2" s="1"/>
  <c r="O130" i="2"/>
  <c r="V130" i="2"/>
  <c r="V127" i="2"/>
  <c r="K132" i="2"/>
  <c r="L132" i="2" s="1"/>
  <c r="J130" i="2"/>
  <c r="K131" i="2"/>
  <c r="F133" i="2"/>
  <c r="G133" i="2" s="1"/>
  <c r="A135" i="2"/>
  <c r="C134" i="2"/>
  <c r="L131" i="2" l="1"/>
  <c r="M131" i="2" s="1"/>
  <c r="N131" i="2" s="1"/>
  <c r="O131" i="2" s="1"/>
  <c r="R128" i="2"/>
  <c r="Y128" i="2" s="1"/>
  <c r="T126" i="2"/>
  <c r="AA126" i="2" s="1"/>
  <c r="AC126" i="2" s="1"/>
  <c r="AC125" i="2"/>
  <c r="AD124" i="2" s="1"/>
  <c r="V129" i="2"/>
  <c r="Q129" i="2"/>
  <c r="X129" i="2" s="1"/>
  <c r="X127" i="2"/>
  <c r="R127" i="2"/>
  <c r="M132" i="2"/>
  <c r="H133" i="2"/>
  <c r="I133" i="2" s="1"/>
  <c r="F134" i="2"/>
  <c r="G134" i="2" s="1"/>
  <c r="A136" i="2"/>
  <c r="C135" i="2"/>
  <c r="P130" i="2"/>
  <c r="W130" i="2" s="1"/>
  <c r="S128" i="2" l="1"/>
  <c r="Z128" i="2" s="1"/>
  <c r="R129" i="2"/>
  <c r="S129" i="2" s="1"/>
  <c r="Z129" i="2" s="1"/>
  <c r="AD125" i="2"/>
  <c r="Y127" i="2"/>
  <c r="S127" i="2"/>
  <c r="Z127" i="2" s="1"/>
  <c r="U131" i="2"/>
  <c r="AB131" i="2" s="1"/>
  <c r="J132" i="2"/>
  <c r="K133" i="2"/>
  <c r="H134" i="2"/>
  <c r="I134" i="2" s="1"/>
  <c r="C136" i="2"/>
  <c r="A137" i="2"/>
  <c r="F135" i="2"/>
  <c r="G135" i="2" s="1"/>
  <c r="P131" i="2"/>
  <c r="W131" i="2" s="1"/>
  <c r="N132" i="2"/>
  <c r="O132" i="2" s="1"/>
  <c r="Q130" i="2"/>
  <c r="X130" i="2" s="1"/>
  <c r="L133" i="2" l="1"/>
  <c r="M133" i="2" s="1"/>
  <c r="N133" i="2" s="1"/>
  <c r="T128" i="2"/>
  <c r="AA128" i="2" s="1"/>
  <c r="AC128" i="2" s="1"/>
  <c r="Y129" i="2"/>
  <c r="U132" i="2"/>
  <c r="AB132" i="2" s="1"/>
  <c r="T127" i="2"/>
  <c r="AA127" i="2" s="1"/>
  <c r="AC127" i="2" s="1"/>
  <c r="AD126" i="2" s="1"/>
  <c r="V131" i="2"/>
  <c r="T129" i="2"/>
  <c r="AA129" i="2" s="1"/>
  <c r="AC129" i="2" s="1"/>
  <c r="R130" i="2"/>
  <c r="H135" i="2"/>
  <c r="I135" i="2" s="1"/>
  <c r="J133" i="2"/>
  <c r="K134" i="2"/>
  <c r="L134" i="2" s="1"/>
  <c r="F136" i="2"/>
  <c r="G136" i="2" s="1"/>
  <c r="H136" i="2" s="1"/>
  <c r="I136" i="2" s="1"/>
  <c r="P132" i="2"/>
  <c r="W132" i="2" s="1"/>
  <c r="A138" i="2"/>
  <c r="C137" i="2"/>
  <c r="Q131" i="2"/>
  <c r="AD128" i="2" l="1"/>
  <c r="AD127" i="2"/>
  <c r="V132" i="2"/>
  <c r="U133" i="2"/>
  <c r="AB133" i="2" s="1"/>
  <c r="J135" i="2"/>
  <c r="Y130" i="2"/>
  <c r="S130" i="2"/>
  <c r="X131" i="2"/>
  <c r="R131" i="2"/>
  <c r="Y131" i="2" s="1"/>
  <c r="K136" i="2"/>
  <c r="L136" i="2" s="1"/>
  <c r="O133" i="2"/>
  <c r="A139" i="2"/>
  <c r="C138" i="2"/>
  <c r="F137" i="2"/>
  <c r="G137" i="2" s="1"/>
  <c r="H137" i="2" s="1"/>
  <c r="I137" i="2" s="1"/>
  <c r="J136" i="2" s="1"/>
  <c r="M134" i="2"/>
  <c r="Q132" i="2"/>
  <c r="J134" i="2"/>
  <c r="K135" i="2"/>
  <c r="L135" i="2" l="1"/>
  <c r="M135" i="2" s="1"/>
  <c r="N135" i="2" s="1"/>
  <c r="O135" i="2" s="1"/>
  <c r="Z130" i="2"/>
  <c r="T130" i="2"/>
  <c r="AA130" i="2" s="1"/>
  <c r="V133" i="2"/>
  <c r="N134" i="2"/>
  <c r="O134" i="2" s="1"/>
  <c r="K137" i="2"/>
  <c r="F138" i="2"/>
  <c r="G138" i="2" s="1"/>
  <c r="P133" i="2"/>
  <c r="W133" i="2" s="1"/>
  <c r="C139" i="2"/>
  <c r="A140" i="2"/>
  <c r="M136" i="2"/>
  <c r="S131" i="2"/>
  <c r="X132" i="2"/>
  <c r="R132" i="2"/>
  <c r="Y132" i="2" s="1"/>
  <c r="AC130" i="2" l="1"/>
  <c r="AD129" i="2" s="1"/>
  <c r="L137" i="2"/>
  <c r="M137" i="2" s="1"/>
  <c r="N137" i="2" s="1"/>
  <c r="U137" i="2" s="1"/>
  <c r="AB137" i="2" s="1"/>
  <c r="U134" i="2"/>
  <c r="AB134" i="2" s="1"/>
  <c r="S132" i="2"/>
  <c r="Z132" i="2" s="1"/>
  <c r="Q133" i="2"/>
  <c r="X133" i="2" s="1"/>
  <c r="U135" i="2"/>
  <c r="N136" i="2"/>
  <c r="U136" i="2" s="1"/>
  <c r="AB136" i="2" s="1"/>
  <c r="H138" i="2"/>
  <c r="I138" i="2" s="1"/>
  <c r="F139" i="2"/>
  <c r="G139" i="2" s="1"/>
  <c r="P135" i="2"/>
  <c r="W135" i="2" s="1"/>
  <c r="Z131" i="2"/>
  <c r="T131" i="2"/>
  <c r="AA131" i="2" s="1"/>
  <c r="C140" i="2"/>
  <c r="A141" i="2"/>
  <c r="P134" i="2"/>
  <c r="W134" i="2" s="1"/>
  <c r="V134" i="2" l="1"/>
  <c r="V137" i="2"/>
  <c r="Q134" i="2"/>
  <c r="X134" i="2" s="1"/>
  <c r="O137" i="2"/>
  <c r="V136" i="2"/>
  <c r="O136" i="2"/>
  <c r="P136" i="2" s="1"/>
  <c r="W136" i="2" s="1"/>
  <c r="T132" i="2"/>
  <c r="AA132" i="2" s="1"/>
  <c r="AC132" i="2" s="1"/>
  <c r="Q135" i="2"/>
  <c r="X135" i="2" s="1"/>
  <c r="AB135" i="2"/>
  <c r="V135" i="2"/>
  <c r="R133" i="2"/>
  <c r="J137" i="2"/>
  <c r="K138" i="2"/>
  <c r="L138" i="2" s="1"/>
  <c r="C141" i="2"/>
  <c r="A142" i="2"/>
  <c r="H139" i="2"/>
  <c r="I139" i="2" s="1"/>
  <c r="P137" i="2"/>
  <c r="W137" i="2" s="1"/>
  <c r="AC131" i="2"/>
  <c r="AD130" i="2" s="1"/>
  <c r="F140" i="2"/>
  <c r="G140" i="2" s="1"/>
  <c r="R135" i="2" l="1"/>
  <c r="Y135" i="2" s="1"/>
  <c r="Q137" i="2"/>
  <c r="X137" i="2" s="1"/>
  <c r="R134" i="2"/>
  <c r="Y134" i="2" s="1"/>
  <c r="Q136" i="2"/>
  <c r="Y133" i="2"/>
  <c r="S133" i="2"/>
  <c r="Z133" i="2" s="1"/>
  <c r="K139" i="2"/>
  <c r="J138" i="2"/>
  <c r="M138" i="2"/>
  <c r="AD131" i="2"/>
  <c r="H140" i="2"/>
  <c r="I140" i="2" s="1"/>
  <c r="A143" i="2"/>
  <c r="C142" i="2"/>
  <c r="F141" i="2"/>
  <c r="G141" i="2" s="1"/>
  <c r="L139" i="2" l="1"/>
  <c r="M139" i="2" s="1"/>
  <c r="N139" i="2" s="1"/>
  <c r="U139" i="2" s="1"/>
  <c r="AB139" i="2" s="1"/>
  <c r="R137" i="2"/>
  <c r="S137" i="2" s="1"/>
  <c r="Z137" i="2" s="1"/>
  <c r="S134" i="2"/>
  <c r="Z134" i="2" s="1"/>
  <c r="S135" i="2"/>
  <c r="Z135" i="2" s="1"/>
  <c r="T133" i="2"/>
  <c r="AA133" i="2" s="1"/>
  <c r="AC133" i="2" s="1"/>
  <c r="AD132" i="2" s="1"/>
  <c r="X136" i="2"/>
  <c r="R136" i="2"/>
  <c r="Y136" i="2" s="1"/>
  <c r="J139" i="2"/>
  <c r="K140" i="2"/>
  <c r="N138" i="2"/>
  <c r="O138" i="2" s="1"/>
  <c r="H141" i="2"/>
  <c r="I141" i="2" s="1"/>
  <c r="F142" i="2"/>
  <c r="G142" i="2" s="1"/>
  <c r="H142" i="2" s="1"/>
  <c r="I142" i="2" s="1"/>
  <c r="C143" i="2"/>
  <c r="A144" i="2"/>
  <c r="L140" i="2" l="1"/>
  <c r="M140" i="2" s="1"/>
  <c r="N140" i="2" s="1"/>
  <c r="U140" i="2" s="1"/>
  <c r="AB140" i="2" s="1"/>
  <c r="T134" i="2"/>
  <c r="AA134" i="2" s="1"/>
  <c r="AC134" i="2" s="1"/>
  <c r="AD133" i="2" s="1"/>
  <c r="Y137" i="2"/>
  <c r="T135" i="2"/>
  <c r="AA135" i="2" s="1"/>
  <c r="AC135" i="2" s="1"/>
  <c r="U138" i="2"/>
  <c r="AB138" i="2" s="1"/>
  <c r="V139" i="2"/>
  <c r="O139" i="2"/>
  <c r="P139" i="2" s="1"/>
  <c r="W139" i="2" s="1"/>
  <c r="S136" i="2"/>
  <c r="Z136" i="2" s="1"/>
  <c r="T137" i="2"/>
  <c r="AA137" i="2" s="1"/>
  <c r="AC137" i="2" s="1"/>
  <c r="J140" i="2"/>
  <c r="K141" i="2"/>
  <c r="J141" i="2"/>
  <c r="F143" i="2"/>
  <c r="G143" i="2" s="1"/>
  <c r="H143" i="2" s="1"/>
  <c r="I143" i="2" s="1"/>
  <c r="J142" i="2" s="1"/>
  <c r="C144" i="2"/>
  <c r="A145" i="2"/>
  <c r="K142" i="2"/>
  <c r="P138" i="2"/>
  <c r="W138" i="2" s="1"/>
  <c r="L141" i="2" l="1"/>
  <c r="M141" i="2" s="1"/>
  <c r="N141" i="2" s="1"/>
  <c r="O141" i="2" s="1"/>
  <c r="L142" i="2"/>
  <c r="M142" i="2" s="1"/>
  <c r="N142" i="2" s="1"/>
  <c r="O142" i="2" s="1"/>
  <c r="AD134" i="2"/>
  <c r="V138" i="2"/>
  <c r="T136" i="2"/>
  <c r="AA136" i="2" s="1"/>
  <c r="AC136" i="2" s="1"/>
  <c r="AD135" i="2" s="1"/>
  <c r="V140" i="2"/>
  <c r="A146" i="2"/>
  <c r="C145" i="2"/>
  <c r="K143" i="2"/>
  <c r="O140" i="2"/>
  <c r="F144" i="2"/>
  <c r="G144" i="2" s="1"/>
  <c r="Q139" i="2"/>
  <c r="Q138" i="2"/>
  <c r="X138" i="2" s="1"/>
  <c r="L143" i="2" l="1"/>
  <c r="M143" i="2" s="1"/>
  <c r="N143" i="2" s="1"/>
  <c r="O143" i="2" s="1"/>
  <c r="AD136" i="2"/>
  <c r="U142" i="2"/>
  <c r="R138" i="2"/>
  <c r="Y138" i="2" s="1"/>
  <c r="P141" i="2"/>
  <c r="W141" i="2" s="1"/>
  <c r="P140" i="2"/>
  <c r="W140" i="2" s="1"/>
  <c r="H144" i="2"/>
  <c r="I144" i="2" s="1"/>
  <c r="X139" i="2"/>
  <c r="R139" i="2"/>
  <c r="Y139" i="2" s="1"/>
  <c r="P142" i="2"/>
  <c r="W142" i="2" s="1"/>
  <c r="F145" i="2"/>
  <c r="G145" i="2" s="1"/>
  <c r="U141" i="2"/>
  <c r="AB141" i="2" s="1"/>
  <c r="A147" i="2"/>
  <c r="C146" i="2"/>
  <c r="S138" i="2" l="1"/>
  <c r="T138" i="2" s="1"/>
  <c r="AA138" i="2" s="1"/>
  <c r="Q141" i="2"/>
  <c r="X141" i="2" s="1"/>
  <c r="Q140" i="2"/>
  <c r="X140" i="2" s="1"/>
  <c r="U143" i="2"/>
  <c r="AB143" i="2" s="1"/>
  <c r="AB142" i="2"/>
  <c r="V142" i="2"/>
  <c r="S139" i="2"/>
  <c r="Z139" i="2" s="1"/>
  <c r="J143" i="2"/>
  <c r="K144" i="2"/>
  <c r="L144" i="2" s="1"/>
  <c r="C147" i="2"/>
  <c r="A148" i="2"/>
  <c r="F146" i="2"/>
  <c r="G146" i="2" s="1"/>
  <c r="H146" i="2" s="1"/>
  <c r="I146" i="2" s="1"/>
  <c r="K146" i="2" s="1"/>
  <c r="H145" i="2"/>
  <c r="I145" i="2" s="1"/>
  <c r="P143" i="2"/>
  <c r="W143" i="2" s="1"/>
  <c r="V141" i="2"/>
  <c r="Q142" i="2"/>
  <c r="X142" i="2" s="1"/>
  <c r="V143" i="2" l="1"/>
  <c r="Z138" i="2"/>
  <c r="AC138" i="2" s="1"/>
  <c r="AD137" i="2" s="1"/>
  <c r="L146" i="2"/>
  <c r="M146" i="2" s="1"/>
  <c r="N146" i="2" s="1"/>
  <c r="O146" i="2" s="1"/>
  <c r="R141" i="2"/>
  <c r="Y141" i="2" s="1"/>
  <c r="R140" i="2"/>
  <c r="Q143" i="2"/>
  <c r="X143" i="2" s="1"/>
  <c r="T139" i="2"/>
  <c r="AA139" i="2" s="1"/>
  <c r="AC139" i="2" s="1"/>
  <c r="J144" i="2"/>
  <c r="K145" i="2"/>
  <c r="L145" i="2" s="1"/>
  <c r="A149" i="2"/>
  <c r="C148" i="2"/>
  <c r="R142" i="2"/>
  <c r="Y142" i="2" s="1"/>
  <c r="F147" i="2"/>
  <c r="G147" i="2" s="1"/>
  <c r="J145" i="2"/>
  <c r="M144" i="2"/>
  <c r="S141" i="2" l="1"/>
  <c r="Z141" i="2" s="1"/>
  <c r="R143" i="2"/>
  <c r="S143" i="2" s="1"/>
  <c r="Z143" i="2" s="1"/>
  <c r="Y140" i="2"/>
  <c r="S140" i="2"/>
  <c r="U146" i="2"/>
  <c r="AB146" i="2" s="1"/>
  <c r="N144" i="2"/>
  <c r="O144" i="2" s="1"/>
  <c r="H147" i="2"/>
  <c r="I147" i="2" s="1"/>
  <c r="F148" i="2"/>
  <c r="G148" i="2" s="1"/>
  <c r="C149" i="2"/>
  <c r="F149" i="2" s="1"/>
  <c r="G149" i="2" s="1"/>
  <c r="A150" i="2"/>
  <c r="M145" i="2"/>
  <c r="AD138" i="2"/>
  <c r="S142" i="2"/>
  <c r="Z142" i="2" s="1"/>
  <c r="P146" i="2"/>
  <c r="W146" i="2" s="1"/>
  <c r="T141" i="2" l="1"/>
  <c r="AA141" i="2" s="1"/>
  <c r="AC141" i="2" s="1"/>
  <c r="Y143" i="2"/>
  <c r="U144" i="2"/>
  <c r="AB144" i="2" s="1"/>
  <c r="V146" i="2"/>
  <c r="T140" i="2"/>
  <c r="AA140" i="2" s="1"/>
  <c r="Z140" i="2"/>
  <c r="T142" i="2"/>
  <c r="AA142" i="2" s="1"/>
  <c r="AC142" i="2" s="1"/>
  <c r="Q146" i="2"/>
  <c r="X146" i="2" s="1"/>
  <c r="N145" i="2"/>
  <c r="O145" i="2" s="1"/>
  <c r="A151" i="2"/>
  <c r="C150" i="2"/>
  <c r="J146" i="2"/>
  <c r="K147" i="2"/>
  <c r="L147" i="2" s="1"/>
  <c r="H149" i="2"/>
  <c r="I149" i="2" s="1"/>
  <c r="H148" i="2"/>
  <c r="I148" i="2" s="1"/>
  <c r="T143" i="2"/>
  <c r="AA143" i="2" s="1"/>
  <c r="AC143" i="2" s="1"/>
  <c r="P144" i="2"/>
  <c r="W144" i="2" s="1"/>
  <c r="V144" i="2" l="1"/>
  <c r="AD141" i="2"/>
  <c r="R146" i="2"/>
  <c r="Y146" i="2" s="1"/>
  <c r="AC140" i="2"/>
  <c r="AD142" i="2"/>
  <c r="Q144" i="2"/>
  <c r="X144" i="2" s="1"/>
  <c r="U145" i="2"/>
  <c r="AB145" i="2" s="1"/>
  <c r="K149" i="2"/>
  <c r="L149" i="2" s="1"/>
  <c r="J148" i="2"/>
  <c r="F150" i="2"/>
  <c r="G150" i="2" s="1"/>
  <c r="A152" i="2"/>
  <c r="C151" i="2"/>
  <c r="M147" i="2"/>
  <c r="J147" i="2"/>
  <c r="K148" i="2"/>
  <c r="L148" i="2" s="1"/>
  <c r="P145" i="2"/>
  <c r="W145" i="2" s="1"/>
  <c r="S146" i="2" l="1"/>
  <c r="Z146" i="2" s="1"/>
  <c r="AD139" i="2"/>
  <c r="AD140" i="2"/>
  <c r="V145" i="2"/>
  <c r="R144" i="2"/>
  <c r="Y144" i="2" s="1"/>
  <c r="Q145" i="2"/>
  <c r="X145" i="2" s="1"/>
  <c r="N147" i="2"/>
  <c r="O147" i="2" s="1"/>
  <c r="C152" i="2"/>
  <c r="A153" i="2"/>
  <c r="M148" i="2"/>
  <c r="F151" i="2"/>
  <c r="G151" i="2" s="1"/>
  <c r="H150" i="2"/>
  <c r="I150" i="2" s="1"/>
  <c r="M149" i="2"/>
  <c r="R145" i="2" l="1"/>
  <c r="Y145" i="2" s="1"/>
  <c r="T146" i="2"/>
  <c r="AA146" i="2" s="1"/>
  <c r="AC146" i="2" s="1"/>
  <c r="U147" i="2"/>
  <c r="AB147" i="2" s="1"/>
  <c r="S144" i="2"/>
  <c r="Z144" i="2" s="1"/>
  <c r="N149" i="2"/>
  <c r="U149" i="2" s="1"/>
  <c r="AB149" i="2" s="1"/>
  <c r="N148" i="2"/>
  <c r="U148" i="2" s="1"/>
  <c r="C153" i="2"/>
  <c r="A154" i="2"/>
  <c r="F152" i="2"/>
  <c r="G152" i="2" s="1"/>
  <c r="J149" i="2"/>
  <c r="K150" i="2"/>
  <c r="L150" i="2" s="1"/>
  <c r="H151" i="2"/>
  <c r="I151" i="2" s="1"/>
  <c r="P147" i="2"/>
  <c r="W147" i="2" s="1"/>
  <c r="S145" i="2" l="1"/>
  <c r="Z145" i="2" s="1"/>
  <c r="T144" i="2"/>
  <c r="AA144" i="2" s="1"/>
  <c r="AC144" i="2" s="1"/>
  <c r="AD143" i="2" s="1"/>
  <c r="V147" i="2"/>
  <c r="V149" i="2"/>
  <c r="O149" i="2"/>
  <c r="P149" i="2" s="1"/>
  <c r="W149" i="2" s="1"/>
  <c r="Q147" i="2"/>
  <c r="X147" i="2" s="1"/>
  <c r="AB148" i="2"/>
  <c r="V148" i="2"/>
  <c r="A155" i="2"/>
  <c r="C154" i="2"/>
  <c r="F153" i="2"/>
  <c r="G153" i="2" s="1"/>
  <c r="J150" i="2"/>
  <c r="K151" i="2"/>
  <c r="L151" i="2" s="1"/>
  <c r="M150" i="2"/>
  <c r="O148" i="2"/>
  <c r="H152" i="2"/>
  <c r="I152" i="2" s="1"/>
  <c r="T145" i="2" l="1"/>
  <c r="AA145" i="2" s="1"/>
  <c r="AC145" i="2" s="1"/>
  <c r="AD144" i="2" s="1"/>
  <c r="R147" i="2"/>
  <c r="Y147" i="2" s="1"/>
  <c r="Q149" i="2"/>
  <c r="J151" i="2"/>
  <c r="K152" i="2"/>
  <c r="L152" i="2" s="1"/>
  <c r="N150" i="2"/>
  <c r="O150" i="2" s="1"/>
  <c r="F154" i="2"/>
  <c r="G154" i="2" s="1"/>
  <c r="S147" i="2"/>
  <c r="M151" i="2"/>
  <c r="H153" i="2"/>
  <c r="I153" i="2" s="1"/>
  <c r="C155" i="2"/>
  <c r="A156" i="2"/>
  <c r="P148" i="2"/>
  <c r="W148" i="2" s="1"/>
  <c r="AD145" i="2" l="1"/>
  <c r="U150" i="2"/>
  <c r="AB150" i="2" s="1"/>
  <c r="X149" i="2"/>
  <c r="R149" i="2"/>
  <c r="N151" i="2"/>
  <c r="O151" i="2" s="1"/>
  <c r="Z147" i="2"/>
  <c r="T147" i="2"/>
  <c r="AA147" i="2" s="1"/>
  <c r="H154" i="2"/>
  <c r="I154" i="2" s="1"/>
  <c r="C156" i="2"/>
  <c r="A157" i="2"/>
  <c r="J152" i="2"/>
  <c r="K153" i="2"/>
  <c r="L153" i="2" s="1"/>
  <c r="Q148" i="2"/>
  <c r="F155" i="2"/>
  <c r="G155" i="2" s="1"/>
  <c r="H155" i="2" s="1"/>
  <c r="I155" i="2" s="1"/>
  <c r="K155" i="2" s="1"/>
  <c r="P150" i="2"/>
  <c r="W150" i="2" s="1"/>
  <c r="M152" i="2"/>
  <c r="L155" i="2" l="1"/>
  <c r="M155" i="2" s="1"/>
  <c r="N155" i="2" s="1"/>
  <c r="U155" i="2" s="1"/>
  <c r="AB155" i="2" s="1"/>
  <c r="V150" i="2"/>
  <c r="Y149" i="2"/>
  <c r="S149" i="2"/>
  <c r="AC147" i="2"/>
  <c r="AD146" i="2" s="1"/>
  <c r="U151" i="2"/>
  <c r="AB151" i="2" s="1"/>
  <c r="J153" i="2"/>
  <c r="K154" i="2"/>
  <c r="L154" i="2" s="1"/>
  <c r="N152" i="2"/>
  <c r="O152" i="2" s="1"/>
  <c r="Q150" i="2"/>
  <c r="X150" i="2" s="1"/>
  <c r="A158" i="2"/>
  <c r="C157" i="2"/>
  <c r="F156" i="2"/>
  <c r="G156" i="2" s="1"/>
  <c r="J154" i="2"/>
  <c r="X148" i="2"/>
  <c r="R148" i="2"/>
  <c r="Y148" i="2" s="1"/>
  <c r="M153" i="2"/>
  <c r="P151" i="2"/>
  <c r="W151" i="2" s="1"/>
  <c r="V155" i="2" l="1"/>
  <c r="V151" i="2"/>
  <c r="U152" i="2"/>
  <c r="AB152" i="2" s="1"/>
  <c r="Q151" i="2"/>
  <c r="Z149" i="2"/>
  <c r="T149" i="2"/>
  <c r="AA149" i="2" s="1"/>
  <c r="AC149" i="2" s="1"/>
  <c r="N153" i="2"/>
  <c r="U153" i="2" s="1"/>
  <c r="AB153" i="2" s="1"/>
  <c r="F157" i="2"/>
  <c r="G157" i="2" s="1"/>
  <c r="H157" i="2" s="1"/>
  <c r="I157" i="2" s="1"/>
  <c r="S148" i="2"/>
  <c r="Z148" i="2" s="1"/>
  <c r="R150" i="2"/>
  <c r="Y150" i="2" s="1"/>
  <c r="O155" i="2"/>
  <c r="A159" i="2"/>
  <c r="C158" i="2"/>
  <c r="M154" i="2"/>
  <c r="P152" i="2"/>
  <c r="W152" i="2" s="1"/>
  <c r="H156" i="2"/>
  <c r="I156" i="2" s="1"/>
  <c r="V152" i="2" l="1"/>
  <c r="V153" i="2"/>
  <c r="O153" i="2"/>
  <c r="P153" i="2" s="1"/>
  <c r="W153" i="2" s="1"/>
  <c r="X151" i="2"/>
  <c r="R151" i="2"/>
  <c r="Y151" i="2" s="1"/>
  <c r="S150" i="2"/>
  <c r="Z150" i="2" s="1"/>
  <c r="J155" i="2"/>
  <c r="K156" i="2"/>
  <c r="L156" i="2" s="1"/>
  <c r="P155" i="2"/>
  <c r="W155" i="2" s="1"/>
  <c r="A160" i="2"/>
  <c r="C159" i="2"/>
  <c r="F158" i="2"/>
  <c r="G158" i="2" s="1"/>
  <c r="H158" i="2" s="1"/>
  <c r="I158" i="2" s="1"/>
  <c r="J157" i="2" s="1"/>
  <c r="J156" i="2"/>
  <c r="N154" i="2"/>
  <c r="U154" i="2" s="1"/>
  <c r="AB154" i="2" s="1"/>
  <c r="K157" i="2"/>
  <c r="Q152" i="2"/>
  <c r="T148" i="2"/>
  <c r="AA148" i="2" s="1"/>
  <c r="AC148" i="2" s="1"/>
  <c r="T150" i="2" l="1"/>
  <c r="AA150" i="2" s="1"/>
  <c r="AC150" i="2" s="1"/>
  <c r="AD149" i="2" s="1"/>
  <c r="L157" i="2"/>
  <c r="M157" i="2" s="1"/>
  <c r="N157" i="2" s="1"/>
  <c r="U157" i="2" s="1"/>
  <c r="AB157" i="2" s="1"/>
  <c r="Q155" i="2"/>
  <c r="X155" i="2" s="1"/>
  <c r="Q153" i="2"/>
  <c r="S151" i="2"/>
  <c r="Z151" i="2" s="1"/>
  <c r="V154" i="2"/>
  <c r="F159" i="2"/>
  <c r="G159" i="2" s="1"/>
  <c r="M156" i="2"/>
  <c r="O154" i="2"/>
  <c r="C160" i="2"/>
  <c r="A161" i="2"/>
  <c r="AD147" i="2"/>
  <c r="AD148" i="2"/>
  <c r="K158" i="2"/>
  <c r="L158" i="2" s="1"/>
  <c r="X152" i="2"/>
  <c r="R152" i="2"/>
  <c r="Y152" i="2" s="1"/>
  <c r="R155" i="2" l="1"/>
  <c r="Y155" i="2" s="1"/>
  <c r="V157" i="2"/>
  <c r="O157" i="2"/>
  <c r="P157" i="2" s="1"/>
  <c r="X153" i="2"/>
  <c r="R153" i="2"/>
  <c r="Y153" i="2" s="1"/>
  <c r="T151" i="2"/>
  <c r="AA151" i="2" s="1"/>
  <c r="AC151" i="2" s="1"/>
  <c r="AD150" i="2" s="1"/>
  <c r="A162" i="2"/>
  <c r="C161" i="2"/>
  <c r="F160" i="2"/>
  <c r="G160" i="2" s="1"/>
  <c r="H160" i="2" s="1"/>
  <c r="I160" i="2" s="1"/>
  <c r="M158" i="2"/>
  <c r="P154" i="2"/>
  <c r="W154" i="2" s="1"/>
  <c r="S152" i="2"/>
  <c r="Z152" i="2" s="1"/>
  <c r="N156" i="2"/>
  <c r="O156" i="2" s="1"/>
  <c r="H159" i="2"/>
  <c r="I159" i="2" s="1"/>
  <c r="S155" i="2" l="1"/>
  <c r="S153" i="2"/>
  <c r="Z153" i="2" s="1"/>
  <c r="W157" i="2"/>
  <c r="Q157" i="2"/>
  <c r="X157" i="2" s="1"/>
  <c r="J159" i="2"/>
  <c r="P156" i="2"/>
  <c r="W156" i="2" s="1"/>
  <c r="N158" i="2"/>
  <c r="U158" i="2" s="1"/>
  <c r="AB158" i="2" s="1"/>
  <c r="U156" i="2"/>
  <c r="K160" i="2"/>
  <c r="L160" i="2" s="1"/>
  <c r="J158" i="2"/>
  <c r="K159" i="2"/>
  <c r="T152" i="2"/>
  <c r="AA152" i="2" s="1"/>
  <c r="AC152" i="2" s="1"/>
  <c r="Q154" i="2"/>
  <c r="X154" i="2" s="1"/>
  <c r="F161" i="2"/>
  <c r="G161" i="2" s="1"/>
  <c r="H161" i="2" s="1"/>
  <c r="I161" i="2" s="1"/>
  <c r="J160" i="2" s="1"/>
  <c r="A163" i="2"/>
  <c r="C162" i="2"/>
  <c r="L159" i="2" l="1"/>
  <c r="M159" i="2" s="1"/>
  <c r="N159" i="2" s="1"/>
  <c r="O159" i="2" s="1"/>
  <c r="Z155" i="2"/>
  <c r="T155" i="2"/>
  <c r="AA155" i="2" s="1"/>
  <c r="T153" i="2"/>
  <c r="AA153" i="2" s="1"/>
  <c r="AC153" i="2" s="1"/>
  <c r="AD152" i="2" s="1"/>
  <c r="R157" i="2"/>
  <c r="O158" i="2"/>
  <c r="P158" i="2" s="1"/>
  <c r="W158" i="2" s="1"/>
  <c r="V158" i="2"/>
  <c r="Q156" i="2"/>
  <c r="AD151" i="2"/>
  <c r="C163" i="2"/>
  <c r="A164" i="2"/>
  <c r="K161" i="2"/>
  <c r="R154" i="2"/>
  <c r="Y154" i="2" s="1"/>
  <c r="AB156" i="2"/>
  <c r="V156" i="2"/>
  <c r="M160" i="2"/>
  <c r="F162" i="2"/>
  <c r="G162" i="2" s="1"/>
  <c r="H162" i="2" s="1"/>
  <c r="I162" i="2" s="1"/>
  <c r="J161" i="2" s="1"/>
  <c r="L161" i="2" l="1"/>
  <c r="M161" i="2" s="1"/>
  <c r="N161" i="2" s="1"/>
  <c r="U161" i="2" s="1"/>
  <c r="AB161" i="2" s="1"/>
  <c r="AC155" i="2"/>
  <c r="Y157" i="2"/>
  <c r="S157" i="2"/>
  <c r="X156" i="2"/>
  <c r="R156" i="2"/>
  <c r="Q158" i="2"/>
  <c r="X158" i="2" s="1"/>
  <c r="S154" i="2"/>
  <c r="Z154" i="2" s="1"/>
  <c r="N160" i="2"/>
  <c r="O160" i="2" s="1"/>
  <c r="F163" i="2"/>
  <c r="G163" i="2" s="1"/>
  <c r="P159" i="2"/>
  <c r="W159" i="2" s="1"/>
  <c r="A165" i="2"/>
  <c r="C164" i="2"/>
  <c r="K162" i="2"/>
  <c r="U159" i="2"/>
  <c r="AB159" i="2" s="1"/>
  <c r="L162" i="2" l="1"/>
  <c r="M162" i="2" s="1"/>
  <c r="N162" i="2" s="1"/>
  <c r="O162" i="2" s="1"/>
  <c r="U160" i="2"/>
  <c r="AB160" i="2" s="1"/>
  <c r="Q159" i="2"/>
  <c r="X159" i="2" s="1"/>
  <c r="Z157" i="2"/>
  <c r="T157" i="2"/>
  <c r="AA157" i="2" s="1"/>
  <c r="AC157" i="2" s="1"/>
  <c r="R158" i="2"/>
  <c r="Y156" i="2"/>
  <c r="S156" i="2"/>
  <c r="T154" i="2"/>
  <c r="AA154" i="2" s="1"/>
  <c r="AC154" i="2" s="1"/>
  <c r="AD154" i="2" s="1"/>
  <c r="V161" i="2"/>
  <c r="V159" i="2"/>
  <c r="O161" i="2"/>
  <c r="P161" i="2" s="1"/>
  <c r="W161" i="2" s="1"/>
  <c r="F164" i="2"/>
  <c r="G164" i="2" s="1"/>
  <c r="H163" i="2"/>
  <c r="I163" i="2" s="1"/>
  <c r="P160" i="2"/>
  <c r="W160" i="2" s="1"/>
  <c r="C165" i="2"/>
  <c r="A166" i="2"/>
  <c r="R159" i="2" l="1"/>
  <c r="Y159" i="2" s="1"/>
  <c r="V160" i="2"/>
  <c r="AD153" i="2"/>
  <c r="U162" i="2"/>
  <c r="AB162" i="2" s="1"/>
  <c r="Q160" i="2"/>
  <c r="X160" i="2" s="1"/>
  <c r="Y158" i="2"/>
  <c r="S158" i="2"/>
  <c r="Q161" i="2"/>
  <c r="X161" i="2" s="1"/>
  <c r="Z156" i="2"/>
  <c r="T156" i="2"/>
  <c r="AA156" i="2" s="1"/>
  <c r="AC156" i="2" s="1"/>
  <c r="J162" i="2"/>
  <c r="K163" i="2"/>
  <c r="H164" i="2"/>
  <c r="I164" i="2" s="1"/>
  <c r="F165" i="2"/>
  <c r="G165" i="2" s="1"/>
  <c r="C166" i="2"/>
  <c r="A167" i="2"/>
  <c r="P162" i="2"/>
  <c r="W162" i="2" s="1"/>
  <c r="L163" i="2" l="1"/>
  <c r="M163" i="2" s="1"/>
  <c r="N163" i="2" s="1"/>
  <c r="O163" i="2" s="1"/>
  <c r="V162" i="2"/>
  <c r="R160" i="2"/>
  <c r="Y160" i="2" s="1"/>
  <c r="S159" i="2"/>
  <c r="Z159" i="2" s="1"/>
  <c r="Q162" i="2"/>
  <c r="X162" i="2" s="1"/>
  <c r="R161" i="2"/>
  <c r="S161" i="2" s="1"/>
  <c r="Z161" i="2" s="1"/>
  <c r="Z158" i="2"/>
  <c r="T158" i="2"/>
  <c r="AA158" i="2" s="1"/>
  <c r="AD155" i="2"/>
  <c r="AD156" i="2"/>
  <c r="J163" i="2"/>
  <c r="K164" i="2"/>
  <c r="C167" i="2"/>
  <c r="A168" i="2"/>
  <c r="H165" i="2"/>
  <c r="I165" i="2" s="1"/>
  <c r="F166" i="2"/>
  <c r="G166" i="2" s="1"/>
  <c r="T159" i="2" l="1"/>
  <c r="AA159" i="2" s="1"/>
  <c r="AC159" i="2" s="1"/>
  <c r="S160" i="2"/>
  <c r="Z160" i="2" s="1"/>
  <c r="Y161" i="2"/>
  <c r="L164" i="2"/>
  <c r="M164" i="2" s="1"/>
  <c r="N164" i="2" s="1"/>
  <c r="O164" i="2" s="1"/>
  <c r="R162" i="2"/>
  <c r="Y162" i="2" s="1"/>
  <c r="AC158" i="2"/>
  <c r="AD157" i="2" s="1"/>
  <c r="P163" i="2"/>
  <c r="W163" i="2" s="1"/>
  <c r="C168" i="2"/>
  <c r="A169" i="2"/>
  <c r="U163" i="2"/>
  <c r="AB163" i="2" s="1"/>
  <c r="H166" i="2"/>
  <c r="I166" i="2" s="1"/>
  <c r="F167" i="2"/>
  <c r="G167" i="2" s="1"/>
  <c r="T161" i="2"/>
  <c r="AA161" i="2" s="1"/>
  <c r="J164" i="2"/>
  <c r="K165" i="2"/>
  <c r="L165" i="2" s="1"/>
  <c r="AC161" i="2" l="1"/>
  <c r="T160" i="2"/>
  <c r="AA160" i="2" s="1"/>
  <c r="AC160" i="2" s="1"/>
  <c r="AD159" i="2" s="1"/>
  <c r="Q163" i="2"/>
  <c r="X163" i="2" s="1"/>
  <c r="S162" i="2"/>
  <c r="Z162" i="2" s="1"/>
  <c r="AD158" i="2"/>
  <c r="U164" i="2"/>
  <c r="AB164" i="2" s="1"/>
  <c r="J165" i="2"/>
  <c r="K166" i="2"/>
  <c r="L166" i="2" s="1"/>
  <c r="A170" i="2"/>
  <c r="C169" i="2"/>
  <c r="V163" i="2"/>
  <c r="P164" i="2"/>
  <c r="W164" i="2" s="1"/>
  <c r="F168" i="2"/>
  <c r="G168" i="2" s="1"/>
  <c r="M165" i="2"/>
  <c r="H167" i="2"/>
  <c r="I167" i="2" s="1"/>
  <c r="R163" i="2" l="1"/>
  <c r="Y163" i="2" s="1"/>
  <c r="V164" i="2"/>
  <c r="T162" i="2"/>
  <c r="AA162" i="2" s="1"/>
  <c r="AC162" i="2" s="1"/>
  <c r="AD161" i="2" s="1"/>
  <c r="Q164" i="2"/>
  <c r="J166" i="2"/>
  <c r="K167" i="2"/>
  <c r="L167" i="2" s="1"/>
  <c r="F169" i="2"/>
  <c r="G169" i="2" s="1"/>
  <c r="N165" i="2"/>
  <c r="O165" i="2" s="1"/>
  <c r="A171" i="2"/>
  <c r="C170" i="2"/>
  <c r="M166" i="2"/>
  <c r="H168" i="2"/>
  <c r="I168" i="2" s="1"/>
  <c r="AD160" i="2"/>
  <c r="S163" i="2" l="1"/>
  <c r="Z163" i="2" s="1"/>
  <c r="U165" i="2"/>
  <c r="AB165" i="2" s="1"/>
  <c r="X164" i="2"/>
  <c r="R164" i="2"/>
  <c r="C171" i="2"/>
  <c r="A172" i="2"/>
  <c r="J167" i="2"/>
  <c r="K168" i="2"/>
  <c r="L168" i="2" s="1"/>
  <c r="P165" i="2"/>
  <c r="W165" i="2" s="1"/>
  <c r="H169" i="2"/>
  <c r="I169" i="2" s="1"/>
  <c r="M167" i="2"/>
  <c r="N166" i="2"/>
  <c r="U166" i="2" s="1"/>
  <c r="F170" i="2"/>
  <c r="G170" i="2" s="1"/>
  <c r="H170" i="2" s="1"/>
  <c r="I170" i="2" s="1"/>
  <c r="T163" i="2" l="1"/>
  <c r="AA163" i="2" s="1"/>
  <c r="AC163" i="2" s="1"/>
  <c r="AD162" i="2" s="1"/>
  <c r="V165" i="2"/>
  <c r="J169" i="2"/>
  <c r="O166" i="2"/>
  <c r="P166" i="2" s="1"/>
  <c r="W166" i="2" s="1"/>
  <c r="Q165" i="2"/>
  <c r="Y164" i="2"/>
  <c r="S164" i="2"/>
  <c r="AB166" i="2"/>
  <c r="V166" i="2"/>
  <c r="K170" i="2"/>
  <c r="N167" i="2"/>
  <c r="U167" i="2" s="1"/>
  <c r="AB167" i="2" s="1"/>
  <c r="M168" i="2"/>
  <c r="A173" i="2"/>
  <c r="C172" i="2"/>
  <c r="J168" i="2"/>
  <c r="K169" i="2"/>
  <c r="L169" i="2" s="1"/>
  <c r="F171" i="2"/>
  <c r="G171" i="2" s="1"/>
  <c r="L170" i="2" l="1"/>
  <c r="M170" i="2" s="1"/>
  <c r="N170" i="2" s="1"/>
  <c r="U170" i="2" s="1"/>
  <c r="O167" i="2"/>
  <c r="P167" i="2" s="1"/>
  <c r="W167" i="2" s="1"/>
  <c r="Q166" i="2"/>
  <c r="X166" i="2" s="1"/>
  <c r="V167" i="2"/>
  <c r="X165" i="2"/>
  <c r="R165" i="2"/>
  <c r="Z164" i="2"/>
  <c r="T164" i="2"/>
  <c r="AA164" i="2" s="1"/>
  <c r="H171" i="2"/>
  <c r="I171" i="2" s="1"/>
  <c r="M169" i="2"/>
  <c r="F172" i="2"/>
  <c r="G172" i="2" s="1"/>
  <c r="A174" i="2"/>
  <c r="C173" i="2"/>
  <c r="N168" i="2"/>
  <c r="U168" i="2" s="1"/>
  <c r="R166" i="2" l="1"/>
  <c r="Y166" i="2" s="1"/>
  <c r="O168" i="2"/>
  <c r="P168" i="2" s="1"/>
  <c r="W168" i="2" s="1"/>
  <c r="Y165" i="2"/>
  <c r="S165" i="2"/>
  <c r="AC164" i="2"/>
  <c r="AD163" i="2" s="1"/>
  <c r="AB168" i="2"/>
  <c r="V168" i="2"/>
  <c r="AB170" i="2"/>
  <c r="V170" i="2"/>
  <c r="N169" i="2"/>
  <c r="U169" i="2" s="1"/>
  <c r="AB169" i="2" s="1"/>
  <c r="J170" i="2"/>
  <c r="K171" i="2"/>
  <c r="L171" i="2" s="1"/>
  <c r="H172" i="2"/>
  <c r="I172" i="2" s="1"/>
  <c r="O170" i="2"/>
  <c r="F173" i="2"/>
  <c r="G173" i="2" s="1"/>
  <c r="Q167" i="2"/>
  <c r="A175" i="2"/>
  <c r="C174" i="2"/>
  <c r="S166" i="2" l="1"/>
  <c r="Z166" i="2" s="1"/>
  <c r="O169" i="2"/>
  <c r="P169" i="2" s="1"/>
  <c r="W169" i="2" s="1"/>
  <c r="Z165" i="2"/>
  <c r="T165" i="2"/>
  <c r="AA165" i="2" s="1"/>
  <c r="V169" i="2"/>
  <c r="Q168" i="2"/>
  <c r="X168" i="2" s="1"/>
  <c r="J171" i="2"/>
  <c r="K172" i="2"/>
  <c r="A176" i="2"/>
  <c r="C175" i="2"/>
  <c r="F174" i="2"/>
  <c r="G174" i="2" s="1"/>
  <c r="H174" i="2" s="1"/>
  <c r="I174" i="2" s="1"/>
  <c r="K174" i="2" s="1"/>
  <c r="X167" i="2"/>
  <c r="R167" i="2"/>
  <c r="Y167" i="2" s="1"/>
  <c r="M171" i="2"/>
  <c r="P170" i="2"/>
  <c r="W170" i="2" s="1"/>
  <c r="H173" i="2"/>
  <c r="I173" i="2" s="1"/>
  <c r="L174" i="2" l="1"/>
  <c r="M174" i="2" s="1"/>
  <c r="N174" i="2" s="1"/>
  <c r="O174" i="2" s="1"/>
  <c r="L172" i="2"/>
  <c r="M172" i="2" s="1"/>
  <c r="N172" i="2" s="1"/>
  <c r="O172" i="2" s="1"/>
  <c r="T166" i="2"/>
  <c r="AA166" i="2" s="1"/>
  <c r="AC166" i="2" s="1"/>
  <c r="Q169" i="2"/>
  <c r="X169" i="2" s="1"/>
  <c r="AC165" i="2"/>
  <c r="Q170" i="2"/>
  <c r="X170" i="2" s="1"/>
  <c r="R168" i="2"/>
  <c r="Y168" i="2" s="1"/>
  <c r="N171" i="2"/>
  <c r="U171" i="2" s="1"/>
  <c r="AB171" i="2" s="1"/>
  <c r="J172" i="2"/>
  <c r="K173" i="2"/>
  <c r="S167" i="2"/>
  <c r="J173" i="2"/>
  <c r="F175" i="2"/>
  <c r="G175" i="2" s="1"/>
  <c r="H175" i="2" s="1"/>
  <c r="I175" i="2" s="1"/>
  <c r="J174" i="2" s="1"/>
  <c r="C176" i="2"/>
  <c r="A177" i="2"/>
  <c r="L173" i="2" l="1"/>
  <c r="M173" i="2" s="1"/>
  <c r="N173" i="2" s="1"/>
  <c r="O173" i="2" s="1"/>
  <c r="R169" i="2"/>
  <c r="Y169" i="2" s="1"/>
  <c r="V171" i="2"/>
  <c r="O171" i="2"/>
  <c r="P171" i="2" s="1"/>
  <c r="W171" i="2" s="1"/>
  <c r="U174" i="2"/>
  <c r="AB174" i="2" s="1"/>
  <c r="R170" i="2"/>
  <c r="Y170" i="2" s="1"/>
  <c r="AD164" i="2"/>
  <c r="AD165" i="2"/>
  <c r="U172" i="2"/>
  <c r="AB172" i="2" s="1"/>
  <c r="S168" i="2"/>
  <c r="Z168" i="2" s="1"/>
  <c r="P172" i="2"/>
  <c r="W172" i="2" s="1"/>
  <c r="F176" i="2"/>
  <c r="G176" i="2" s="1"/>
  <c r="K175" i="2"/>
  <c r="Z167" i="2"/>
  <c r="T167" i="2"/>
  <c r="AA167" i="2" s="1"/>
  <c r="A178" i="2"/>
  <c r="C177" i="2"/>
  <c r="P174" i="2"/>
  <c r="W174" i="2" s="1"/>
  <c r="L175" i="2" l="1"/>
  <c r="M175" i="2" s="1"/>
  <c r="N175" i="2" s="1"/>
  <c r="U175" i="2" s="1"/>
  <c r="AB175" i="2" s="1"/>
  <c r="S170" i="2"/>
  <c r="Z170" i="2" s="1"/>
  <c r="S169" i="2"/>
  <c r="Z169" i="2" s="1"/>
  <c r="V174" i="2"/>
  <c r="T168" i="2"/>
  <c r="AA168" i="2" s="1"/>
  <c r="AC168" i="2" s="1"/>
  <c r="V172" i="2"/>
  <c r="Q172" i="2"/>
  <c r="X172" i="2" s="1"/>
  <c r="Q171" i="2"/>
  <c r="X171" i="2" s="1"/>
  <c r="U173" i="2"/>
  <c r="Q174" i="2"/>
  <c r="X174" i="2" s="1"/>
  <c r="P173" i="2"/>
  <c r="W173" i="2" s="1"/>
  <c r="A179" i="2"/>
  <c r="C178" i="2"/>
  <c r="AC167" i="2"/>
  <c r="F177" i="2"/>
  <c r="G177" i="2" s="1"/>
  <c r="H176" i="2"/>
  <c r="I176" i="2" s="1"/>
  <c r="T169" i="2" l="1"/>
  <c r="AA169" i="2" s="1"/>
  <c r="AC169" i="2" s="1"/>
  <c r="AD168" i="2" s="1"/>
  <c r="T170" i="2"/>
  <c r="AA170" i="2" s="1"/>
  <c r="AC170" i="2" s="1"/>
  <c r="R172" i="2"/>
  <c r="Y172" i="2" s="1"/>
  <c r="O175" i="2"/>
  <c r="P175" i="2" s="1"/>
  <c r="W175" i="2" s="1"/>
  <c r="V175" i="2"/>
  <c r="R171" i="2"/>
  <c r="Y171" i="2" s="1"/>
  <c r="Q173" i="2"/>
  <c r="R173" i="2" s="1"/>
  <c r="Y173" i="2" s="1"/>
  <c r="R174" i="2"/>
  <c r="Y174" i="2" s="1"/>
  <c r="AB173" i="2"/>
  <c r="V173" i="2"/>
  <c r="H177" i="2"/>
  <c r="I177" i="2" s="1"/>
  <c r="AD166" i="2"/>
  <c r="AD167" i="2"/>
  <c r="J175" i="2"/>
  <c r="K176" i="2"/>
  <c r="L176" i="2" s="1"/>
  <c r="F178" i="2"/>
  <c r="G178" i="2" s="1"/>
  <c r="C179" i="2"/>
  <c r="A180" i="2"/>
  <c r="AD169" i="2" l="1"/>
  <c r="S172" i="2"/>
  <c r="Z172" i="2" s="1"/>
  <c r="S171" i="2"/>
  <c r="S174" i="2"/>
  <c r="Z174" i="2" s="1"/>
  <c r="Q175" i="2"/>
  <c r="X175" i="2" s="1"/>
  <c r="X173" i="2"/>
  <c r="S173" i="2"/>
  <c r="Z173" i="2" s="1"/>
  <c r="J176" i="2"/>
  <c r="K177" i="2"/>
  <c r="L177" i="2" s="1"/>
  <c r="C180" i="2"/>
  <c r="A181" i="2"/>
  <c r="F179" i="2"/>
  <c r="G179" i="2" s="1"/>
  <c r="H178" i="2"/>
  <c r="I178" i="2" s="1"/>
  <c r="M176" i="2"/>
  <c r="R175" i="2" l="1"/>
  <c r="S175" i="2" s="1"/>
  <c r="Z175" i="2" s="1"/>
  <c r="T172" i="2"/>
  <c r="AA172" i="2" s="1"/>
  <c r="AC172" i="2" s="1"/>
  <c r="T174" i="2"/>
  <c r="AA174" i="2" s="1"/>
  <c r="AC174" i="2" s="1"/>
  <c r="Z171" i="2"/>
  <c r="T171" i="2"/>
  <c r="AA171" i="2" s="1"/>
  <c r="T173" i="2"/>
  <c r="AA173" i="2" s="1"/>
  <c r="AC173" i="2" s="1"/>
  <c r="J177" i="2"/>
  <c r="K178" i="2"/>
  <c r="L178" i="2" s="1"/>
  <c r="H179" i="2"/>
  <c r="I179" i="2" s="1"/>
  <c r="A182" i="2"/>
  <c r="C181" i="2"/>
  <c r="M177" i="2"/>
  <c r="F180" i="2"/>
  <c r="G180" i="2" s="1"/>
  <c r="N176" i="2"/>
  <c r="U176" i="2" s="1"/>
  <c r="Y175" i="2" l="1"/>
  <c r="AD172" i="2"/>
  <c r="AC171" i="2"/>
  <c r="AD170" i="2" s="1"/>
  <c r="O176" i="2"/>
  <c r="P176" i="2" s="1"/>
  <c r="W176" i="2" s="1"/>
  <c r="T175" i="2"/>
  <c r="AA175" i="2" s="1"/>
  <c r="AD173" i="2"/>
  <c r="AB176" i="2"/>
  <c r="V176" i="2"/>
  <c r="N177" i="2"/>
  <c r="U177" i="2" s="1"/>
  <c r="AB177" i="2" s="1"/>
  <c r="J178" i="2"/>
  <c r="K179" i="2"/>
  <c r="H180" i="2"/>
  <c r="I180" i="2" s="1"/>
  <c r="M178" i="2"/>
  <c r="F181" i="2"/>
  <c r="G181" i="2" s="1"/>
  <c r="A183" i="2"/>
  <c r="C182" i="2"/>
  <c r="AC175" i="2" l="1"/>
  <c r="AD174" i="2" s="1"/>
  <c r="L179" i="2"/>
  <c r="M179" i="2" s="1"/>
  <c r="N179" i="2" s="1"/>
  <c r="O179" i="2" s="1"/>
  <c r="AD171" i="2"/>
  <c r="V177" i="2"/>
  <c r="N178" i="2"/>
  <c r="O178" i="2" s="1"/>
  <c r="J179" i="2"/>
  <c r="K180" i="2"/>
  <c r="A184" i="2"/>
  <c r="C183" i="2"/>
  <c r="F182" i="2"/>
  <c r="G182" i="2" s="1"/>
  <c r="H182" i="2" s="1"/>
  <c r="I182" i="2" s="1"/>
  <c r="Q176" i="2"/>
  <c r="O177" i="2"/>
  <c r="H181" i="2"/>
  <c r="I181" i="2" s="1"/>
  <c r="L180" i="2" l="1"/>
  <c r="M180" i="2" s="1"/>
  <c r="N180" i="2" s="1"/>
  <c r="O180" i="2" s="1"/>
  <c r="U178" i="2"/>
  <c r="AB178" i="2" s="1"/>
  <c r="J181" i="2"/>
  <c r="P179" i="2"/>
  <c r="W179" i="2" s="1"/>
  <c r="F183" i="2"/>
  <c r="G183" i="2" s="1"/>
  <c r="A185" i="2"/>
  <c r="C184" i="2"/>
  <c r="J180" i="2"/>
  <c r="K181" i="2"/>
  <c r="U179" i="2"/>
  <c r="AB179" i="2" s="1"/>
  <c r="P177" i="2"/>
  <c r="W177" i="2" s="1"/>
  <c r="X176" i="2"/>
  <c r="R176" i="2"/>
  <c r="Y176" i="2" s="1"/>
  <c r="K182" i="2"/>
  <c r="L182" i="2" s="1"/>
  <c r="P178" i="2"/>
  <c r="W178" i="2" s="1"/>
  <c r="L181" i="2" l="1"/>
  <c r="M181" i="2" s="1"/>
  <c r="N181" i="2" s="1"/>
  <c r="O181" i="2" s="1"/>
  <c r="V178" i="2"/>
  <c r="Q179" i="2"/>
  <c r="X179" i="2" s="1"/>
  <c r="Q178" i="2"/>
  <c r="X178" i="2" s="1"/>
  <c r="Q177" i="2"/>
  <c r="X177" i="2" s="1"/>
  <c r="V179" i="2"/>
  <c r="U180" i="2"/>
  <c r="AB180" i="2" s="1"/>
  <c r="H183" i="2"/>
  <c r="I183" i="2" s="1"/>
  <c r="C185" i="2"/>
  <c r="A186" i="2"/>
  <c r="F184" i="2"/>
  <c r="G184" i="2" s="1"/>
  <c r="M182" i="2"/>
  <c r="S176" i="2"/>
  <c r="Z176" i="2" s="1"/>
  <c r="P180" i="2"/>
  <c r="W180" i="2" s="1"/>
  <c r="R179" i="2" l="1"/>
  <c r="S179" i="2" s="1"/>
  <c r="Z179" i="2" s="1"/>
  <c r="R178" i="2"/>
  <c r="Y178" i="2" s="1"/>
  <c r="V180" i="2"/>
  <c r="U181" i="2"/>
  <c r="AB181" i="2" s="1"/>
  <c r="T176" i="2"/>
  <c r="AA176" i="2" s="1"/>
  <c r="AC176" i="2" s="1"/>
  <c r="AD175" i="2" s="1"/>
  <c r="Q180" i="2"/>
  <c r="X180" i="2" s="1"/>
  <c r="R177" i="2"/>
  <c r="Y177" i="2" s="1"/>
  <c r="J182" i="2"/>
  <c r="K183" i="2"/>
  <c r="H184" i="2"/>
  <c r="I184" i="2" s="1"/>
  <c r="F185" i="2"/>
  <c r="G185" i="2" s="1"/>
  <c r="T179" i="2"/>
  <c r="AA179" i="2" s="1"/>
  <c r="N182" i="2"/>
  <c r="O182" i="2" s="1"/>
  <c r="A187" i="2"/>
  <c r="C186" i="2"/>
  <c r="P181" i="2"/>
  <c r="W181" i="2" s="1"/>
  <c r="Y179" i="2" l="1"/>
  <c r="AC179" i="2" s="1"/>
  <c r="L183" i="2"/>
  <c r="M183" i="2" s="1"/>
  <c r="N183" i="2" s="1"/>
  <c r="V181" i="2"/>
  <c r="R180" i="2"/>
  <c r="Y180" i="2" s="1"/>
  <c r="S178" i="2"/>
  <c r="T178" i="2" s="1"/>
  <c r="AA178" i="2" s="1"/>
  <c r="S177" i="2"/>
  <c r="Z177" i="2" s="1"/>
  <c r="U182" i="2"/>
  <c r="AB182" i="2" s="1"/>
  <c r="Q181" i="2"/>
  <c r="P182" i="2"/>
  <c r="W182" i="2" s="1"/>
  <c r="J183" i="2"/>
  <c r="K184" i="2"/>
  <c r="C187" i="2"/>
  <c r="A188" i="2"/>
  <c r="H185" i="2"/>
  <c r="I185" i="2" s="1"/>
  <c r="F186" i="2"/>
  <c r="G186" i="2" s="1"/>
  <c r="H186" i="2" s="1"/>
  <c r="I186" i="2" s="1"/>
  <c r="L184" i="2" l="1"/>
  <c r="M184" i="2" s="1"/>
  <c r="N184" i="2" s="1"/>
  <c r="O184" i="2" s="1"/>
  <c r="S180" i="2"/>
  <c r="Z180" i="2" s="1"/>
  <c r="Q182" i="2"/>
  <c r="X182" i="2" s="1"/>
  <c r="Z178" i="2"/>
  <c r="AC178" i="2" s="1"/>
  <c r="AD178" i="2" s="1"/>
  <c r="T177" i="2"/>
  <c r="AA177" i="2" s="1"/>
  <c r="AC177" i="2" s="1"/>
  <c r="AD176" i="2" s="1"/>
  <c r="V182" i="2"/>
  <c r="X181" i="2"/>
  <c r="R181" i="2"/>
  <c r="S181" i="2" s="1"/>
  <c r="Z181" i="2" s="1"/>
  <c r="K185" i="2"/>
  <c r="J184" i="2"/>
  <c r="O183" i="2"/>
  <c r="A189" i="2"/>
  <c r="C188" i="2"/>
  <c r="U183" i="2"/>
  <c r="AB183" i="2" s="1"/>
  <c r="J185" i="2"/>
  <c r="F187" i="2"/>
  <c r="G187" i="2" s="1"/>
  <c r="K186" i="2"/>
  <c r="L186" i="2" s="1"/>
  <c r="L185" i="2" l="1"/>
  <c r="M185" i="2" s="1"/>
  <c r="N185" i="2" s="1"/>
  <c r="U185" i="2" s="1"/>
  <c r="AB185" i="2" s="1"/>
  <c r="T180" i="2"/>
  <c r="AA180" i="2" s="1"/>
  <c r="AC180" i="2" s="1"/>
  <c r="AD179" i="2" s="1"/>
  <c r="AD177" i="2"/>
  <c r="R182" i="2"/>
  <c r="Y182" i="2" s="1"/>
  <c r="Y181" i="2"/>
  <c r="T181" i="2"/>
  <c r="AA181" i="2" s="1"/>
  <c r="P184" i="2"/>
  <c r="W184" i="2" s="1"/>
  <c r="F188" i="2"/>
  <c r="G188" i="2" s="1"/>
  <c r="C189" i="2"/>
  <c r="A190" i="2"/>
  <c r="M186" i="2"/>
  <c r="P183" i="2"/>
  <c r="W183" i="2" s="1"/>
  <c r="H187" i="2"/>
  <c r="I187" i="2" s="1"/>
  <c r="U184" i="2"/>
  <c r="AB184" i="2" s="1"/>
  <c r="V183" i="2"/>
  <c r="AC181" i="2" l="1"/>
  <c r="AD180" i="2" s="1"/>
  <c r="S182" i="2"/>
  <c r="Z182" i="2" s="1"/>
  <c r="Q184" i="2"/>
  <c r="X184" i="2" s="1"/>
  <c r="N186" i="2"/>
  <c r="O186" i="2" s="1"/>
  <c r="J186" i="2"/>
  <c r="K187" i="2"/>
  <c r="F189" i="2"/>
  <c r="G189" i="2" s="1"/>
  <c r="H188" i="2"/>
  <c r="I188" i="2" s="1"/>
  <c r="V184" i="2"/>
  <c r="V185" i="2"/>
  <c r="O185" i="2"/>
  <c r="Q183" i="2"/>
  <c r="C190" i="2"/>
  <c r="A191" i="2"/>
  <c r="L187" i="2" l="1"/>
  <c r="M187" i="2" s="1"/>
  <c r="N187" i="2" s="1"/>
  <c r="U187" i="2" s="1"/>
  <c r="AB187" i="2" s="1"/>
  <c r="T182" i="2"/>
  <c r="AA182" i="2" s="1"/>
  <c r="AC182" i="2" s="1"/>
  <c r="AD181" i="2" s="1"/>
  <c r="R184" i="2"/>
  <c r="Y184" i="2" s="1"/>
  <c r="A192" i="2"/>
  <c r="C191" i="2"/>
  <c r="F190" i="2"/>
  <c r="G190" i="2" s="1"/>
  <c r="J187" i="2"/>
  <c r="K188" i="2"/>
  <c r="L188" i="2" s="1"/>
  <c r="H189" i="2"/>
  <c r="I189" i="2" s="1"/>
  <c r="P186" i="2"/>
  <c r="W186" i="2" s="1"/>
  <c r="X183" i="2"/>
  <c r="R183" i="2"/>
  <c r="Y183" i="2" s="1"/>
  <c r="P185" i="2"/>
  <c r="W185" i="2" s="1"/>
  <c r="U186" i="2"/>
  <c r="AB186" i="2" s="1"/>
  <c r="S184" i="2" l="1"/>
  <c r="Z184" i="2" s="1"/>
  <c r="S183" i="2"/>
  <c r="Z183" i="2" s="1"/>
  <c r="Q185" i="2"/>
  <c r="X185" i="2" s="1"/>
  <c r="Q186" i="2"/>
  <c r="X186" i="2" s="1"/>
  <c r="V187" i="2"/>
  <c r="O187" i="2"/>
  <c r="P187" i="2" s="1"/>
  <c r="W187" i="2" s="1"/>
  <c r="V186" i="2"/>
  <c r="J188" i="2"/>
  <c r="K189" i="2"/>
  <c r="H190" i="2"/>
  <c r="I190" i="2" s="1"/>
  <c r="M188" i="2"/>
  <c r="C192" i="2"/>
  <c r="A193" i="2"/>
  <c r="F191" i="2"/>
  <c r="G191" i="2" s="1"/>
  <c r="H191" i="2" s="1"/>
  <c r="I191" i="2" s="1"/>
  <c r="L189" i="2" l="1"/>
  <c r="M189" i="2" s="1"/>
  <c r="N189" i="2" s="1"/>
  <c r="U189" i="2" s="1"/>
  <c r="AB189" i="2" s="1"/>
  <c r="R185" i="2"/>
  <c r="Y185" i="2" s="1"/>
  <c r="T183" i="2"/>
  <c r="AA183" i="2" s="1"/>
  <c r="AC183" i="2" s="1"/>
  <c r="AD182" i="2" s="1"/>
  <c r="T184" i="2"/>
  <c r="AA184" i="2" s="1"/>
  <c r="AC184" i="2" s="1"/>
  <c r="R186" i="2"/>
  <c r="S186" i="2" s="1"/>
  <c r="J190" i="2"/>
  <c r="Q187" i="2"/>
  <c r="N188" i="2"/>
  <c r="O188" i="2" s="1"/>
  <c r="K191" i="2"/>
  <c r="L191" i="2" s="1"/>
  <c r="A194" i="2"/>
  <c r="C193" i="2"/>
  <c r="F192" i="2"/>
  <c r="G192" i="2" s="1"/>
  <c r="J189" i="2"/>
  <c r="K190" i="2"/>
  <c r="Y186" i="2" l="1"/>
  <c r="L190" i="2"/>
  <c r="M190" i="2" s="1"/>
  <c r="N190" i="2" s="1"/>
  <c r="S185" i="2"/>
  <c r="Z185" i="2" s="1"/>
  <c r="AD183" i="2"/>
  <c r="Z186" i="2"/>
  <c r="T186" i="2"/>
  <c r="AA186" i="2" s="1"/>
  <c r="U188" i="2"/>
  <c r="V189" i="2"/>
  <c r="O189" i="2"/>
  <c r="P189" i="2" s="1"/>
  <c r="W189" i="2" s="1"/>
  <c r="X187" i="2"/>
  <c r="R187" i="2"/>
  <c r="S187" i="2" s="1"/>
  <c r="Z187" i="2" s="1"/>
  <c r="M191" i="2"/>
  <c r="H192" i="2"/>
  <c r="I192" i="2" s="1"/>
  <c r="F193" i="2"/>
  <c r="G193" i="2" s="1"/>
  <c r="H193" i="2" s="1"/>
  <c r="I193" i="2" s="1"/>
  <c r="A195" i="2"/>
  <c r="C194" i="2"/>
  <c r="P188" i="2"/>
  <c r="W188" i="2" s="1"/>
  <c r="T185" i="2" l="1"/>
  <c r="AA185" i="2" s="1"/>
  <c r="AC185" i="2" s="1"/>
  <c r="AD184" i="2" s="1"/>
  <c r="AC186" i="2"/>
  <c r="Q188" i="2"/>
  <c r="X188" i="2" s="1"/>
  <c r="AB188" i="2"/>
  <c r="V188" i="2"/>
  <c r="Q189" i="2"/>
  <c r="X189" i="2" s="1"/>
  <c r="Y187" i="2"/>
  <c r="T187" i="2"/>
  <c r="AA187" i="2" s="1"/>
  <c r="N191" i="2"/>
  <c r="O191" i="2" s="1"/>
  <c r="O190" i="2"/>
  <c r="U190" i="2"/>
  <c r="AB190" i="2" s="1"/>
  <c r="J192" i="2"/>
  <c r="J191" i="2"/>
  <c r="K192" i="2"/>
  <c r="F194" i="2"/>
  <c r="G194" i="2" s="1"/>
  <c r="A196" i="2"/>
  <c r="C195" i="2"/>
  <c r="K193" i="2"/>
  <c r="AC187" i="2" l="1"/>
  <c r="AD186" i="2" s="1"/>
  <c r="R189" i="2"/>
  <c r="Y189" i="2" s="1"/>
  <c r="L193" i="2"/>
  <c r="M193" i="2" s="1"/>
  <c r="N193" i="2" s="1"/>
  <c r="O193" i="2" s="1"/>
  <c r="L192" i="2"/>
  <c r="M192" i="2" s="1"/>
  <c r="N192" i="2" s="1"/>
  <c r="O192" i="2" s="1"/>
  <c r="AD185" i="2"/>
  <c r="R188" i="2"/>
  <c r="Y188" i="2" s="1"/>
  <c r="U191" i="2"/>
  <c r="AB191" i="2" s="1"/>
  <c r="H194" i="2"/>
  <c r="I194" i="2" s="1"/>
  <c r="C196" i="2"/>
  <c r="A197" i="2"/>
  <c r="P190" i="2"/>
  <c r="W190" i="2" s="1"/>
  <c r="F195" i="2"/>
  <c r="G195" i="2" s="1"/>
  <c r="H195" i="2" s="1"/>
  <c r="I195" i="2" s="1"/>
  <c r="P191" i="2"/>
  <c r="W191" i="2" s="1"/>
  <c r="V190" i="2"/>
  <c r="S189" i="2" l="1"/>
  <c r="Z189" i="2" s="1"/>
  <c r="S188" i="2"/>
  <c r="T188" i="2" s="1"/>
  <c r="AA188" i="2" s="1"/>
  <c r="V191" i="2"/>
  <c r="U193" i="2"/>
  <c r="AB193" i="2" s="1"/>
  <c r="J194" i="2"/>
  <c r="Q191" i="2"/>
  <c r="Q190" i="2"/>
  <c r="X190" i="2" s="1"/>
  <c r="P193" i="2"/>
  <c r="W193" i="2" s="1"/>
  <c r="K195" i="2"/>
  <c r="J193" i="2"/>
  <c r="K194" i="2"/>
  <c r="A198" i="2"/>
  <c r="C197" i="2"/>
  <c r="F196" i="2"/>
  <c r="G196" i="2" s="1"/>
  <c r="P192" i="2"/>
  <c r="W192" i="2" s="1"/>
  <c r="U192" i="2"/>
  <c r="T189" i="2" l="1"/>
  <c r="AA189" i="2" s="1"/>
  <c r="AC189" i="2" s="1"/>
  <c r="L194" i="2"/>
  <c r="M194" i="2" s="1"/>
  <c r="N194" i="2" s="1"/>
  <c r="O194" i="2" s="1"/>
  <c r="L195" i="2"/>
  <c r="M195" i="2" s="1"/>
  <c r="N195" i="2" s="1"/>
  <c r="O195" i="2" s="1"/>
  <c r="Z188" i="2"/>
  <c r="V193" i="2"/>
  <c r="Q193" i="2"/>
  <c r="X193" i="2" s="1"/>
  <c r="AC188" i="2"/>
  <c r="AD187" i="2" s="1"/>
  <c r="R190" i="2"/>
  <c r="Y190" i="2" s="1"/>
  <c r="Q192" i="2"/>
  <c r="X191" i="2"/>
  <c r="R191" i="2"/>
  <c r="Y191" i="2" s="1"/>
  <c r="AB192" i="2"/>
  <c r="V192" i="2"/>
  <c r="C198" i="2"/>
  <c r="A199" i="2"/>
  <c r="H196" i="2"/>
  <c r="I196" i="2" s="1"/>
  <c r="F197" i="2"/>
  <c r="G197" i="2" s="1"/>
  <c r="R193" i="2" l="1"/>
  <c r="S193" i="2" s="1"/>
  <c r="Z193" i="2" s="1"/>
  <c r="S191" i="2"/>
  <c r="Z191" i="2" s="1"/>
  <c r="AD188" i="2"/>
  <c r="S190" i="2"/>
  <c r="Z190" i="2" s="1"/>
  <c r="X192" i="2"/>
  <c r="R192" i="2"/>
  <c r="U195" i="2"/>
  <c r="U194" i="2"/>
  <c r="AB194" i="2" s="1"/>
  <c r="P194" i="2"/>
  <c r="W194" i="2" s="1"/>
  <c r="F198" i="2"/>
  <c r="G198" i="2" s="1"/>
  <c r="H197" i="2"/>
  <c r="I197" i="2" s="1"/>
  <c r="J195" i="2"/>
  <c r="K196" i="2"/>
  <c r="P195" i="2"/>
  <c r="W195" i="2" s="1"/>
  <c r="A200" i="2"/>
  <c r="C199" i="2"/>
  <c r="Y193" i="2" l="1"/>
  <c r="L196" i="2"/>
  <c r="M196" i="2" s="1"/>
  <c r="N196" i="2" s="1"/>
  <c r="O196" i="2" s="1"/>
  <c r="T191" i="2"/>
  <c r="AA191" i="2" s="1"/>
  <c r="AC191" i="2" s="1"/>
  <c r="T190" i="2"/>
  <c r="AA190" i="2" s="1"/>
  <c r="AC190" i="2" s="1"/>
  <c r="AD189" i="2" s="1"/>
  <c r="V194" i="2"/>
  <c r="Y192" i="2"/>
  <c r="S192" i="2"/>
  <c r="Q194" i="2"/>
  <c r="X194" i="2" s="1"/>
  <c r="Q195" i="2"/>
  <c r="X195" i="2" s="1"/>
  <c r="T193" i="2"/>
  <c r="AA193" i="2" s="1"/>
  <c r="AC193" i="2" s="1"/>
  <c r="AB195" i="2"/>
  <c r="V195" i="2"/>
  <c r="J196" i="2"/>
  <c r="K197" i="2"/>
  <c r="H198" i="2"/>
  <c r="I198" i="2" s="1"/>
  <c r="C200" i="2"/>
  <c r="A201" i="2"/>
  <c r="F199" i="2"/>
  <c r="G199" i="2" s="1"/>
  <c r="H199" i="2" s="1"/>
  <c r="I199" i="2" s="1"/>
  <c r="K199" i="2" s="1"/>
  <c r="L199" i="2" l="1"/>
  <c r="M199" i="2" s="1"/>
  <c r="N199" i="2" s="1"/>
  <c r="O199" i="2" s="1"/>
  <c r="L197" i="2"/>
  <c r="M197" i="2" s="1"/>
  <c r="N197" i="2" s="1"/>
  <c r="U197" i="2" s="1"/>
  <c r="AB197" i="2" s="1"/>
  <c r="AD190" i="2"/>
  <c r="R194" i="2"/>
  <c r="Y194" i="2" s="1"/>
  <c r="Z192" i="2"/>
  <c r="T192" i="2"/>
  <c r="AA192" i="2" s="1"/>
  <c r="AC192" i="2" s="1"/>
  <c r="AD191" i="2" s="1"/>
  <c r="R195" i="2"/>
  <c r="P196" i="2"/>
  <c r="W196" i="2" s="1"/>
  <c r="J197" i="2"/>
  <c r="K198" i="2"/>
  <c r="U196" i="2"/>
  <c r="F200" i="2"/>
  <c r="G200" i="2" s="1"/>
  <c r="C201" i="2"/>
  <c r="A202" i="2"/>
  <c r="J198" i="2"/>
  <c r="L198" i="2" l="1"/>
  <c r="M198" i="2" s="1"/>
  <c r="N198" i="2" s="1"/>
  <c r="U198" i="2" s="1"/>
  <c r="AB198" i="2" s="1"/>
  <c r="Q196" i="2"/>
  <c r="X196" i="2" s="1"/>
  <c r="O197" i="2"/>
  <c r="P197" i="2" s="1"/>
  <c r="W197" i="2" s="1"/>
  <c r="V197" i="2"/>
  <c r="S194" i="2"/>
  <c r="Z194" i="2" s="1"/>
  <c r="AD192" i="2"/>
  <c r="Y195" i="2"/>
  <c r="S195" i="2"/>
  <c r="Z195" i="2" s="1"/>
  <c r="U199" i="2"/>
  <c r="AB199" i="2" s="1"/>
  <c r="AB196" i="2"/>
  <c r="V196" i="2"/>
  <c r="H200" i="2"/>
  <c r="I200" i="2" s="1"/>
  <c r="P199" i="2"/>
  <c r="W199" i="2" s="1"/>
  <c r="C202" i="2"/>
  <c r="A203" i="2"/>
  <c r="F201" i="2"/>
  <c r="G201" i="2" s="1"/>
  <c r="H201" i="2" s="1"/>
  <c r="I201" i="2" s="1"/>
  <c r="R196" i="2" l="1"/>
  <c r="Y196" i="2" s="1"/>
  <c r="T194" i="2"/>
  <c r="AA194" i="2" s="1"/>
  <c r="AC194" i="2" s="1"/>
  <c r="AD193" i="2" s="1"/>
  <c r="Q197" i="2"/>
  <c r="X197" i="2" s="1"/>
  <c r="V199" i="2"/>
  <c r="T195" i="2"/>
  <c r="AA195" i="2" s="1"/>
  <c r="AC195" i="2" s="1"/>
  <c r="J200" i="2"/>
  <c r="Q199" i="2"/>
  <c r="X199" i="2" s="1"/>
  <c r="O198" i="2"/>
  <c r="K201" i="2"/>
  <c r="L201" i="2" s="1"/>
  <c r="C203" i="2"/>
  <c r="A204" i="2"/>
  <c r="F202" i="2"/>
  <c r="G202" i="2" s="1"/>
  <c r="H202" i="2" s="1"/>
  <c r="I202" i="2" s="1"/>
  <c r="J201" i="2" s="1"/>
  <c r="J199" i="2"/>
  <c r="K200" i="2"/>
  <c r="V198" i="2"/>
  <c r="S196" i="2" l="1"/>
  <c r="Z196" i="2" s="1"/>
  <c r="L200" i="2"/>
  <c r="M200" i="2" s="1"/>
  <c r="N200" i="2" s="1"/>
  <c r="U200" i="2" s="1"/>
  <c r="AB200" i="2" s="1"/>
  <c r="AD194" i="2"/>
  <c r="R199" i="2"/>
  <c r="Y199" i="2" s="1"/>
  <c r="R197" i="2"/>
  <c r="K202" i="2"/>
  <c r="A205" i="2"/>
  <c r="C204" i="2"/>
  <c r="F203" i="2"/>
  <c r="G203" i="2" s="1"/>
  <c r="M201" i="2"/>
  <c r="P198" i="2"/>
  <c r="W198" i="2" s="1"/>
  <c r="T196" i="2" l="1"/>
  <c r="AA196" i="2" s="1"/>
  <c r="AC196" i="2" s="1"/>
  <c r="AD195" i="2" s="1"/>
  <c r="S199" i="2"/>
  <c r="Z199" i="2" s="1"/>
  <c r="L202" i="2"/>
  <c r="M202" i="2" s="1"/>
  <c r="N202" i="2" s="1"/>
  <c r="U202" i="2" s="1"/>
  <c r="AB202" i="2" s="1"/>
  <c r="T199" i="2"/>
  <c r="AA199" i="2" s="1"/>
  <c r="AC199" i="2" s="1"/>
  <c r="Y197" i="2"/>
  <c r="S197" i="2"/>
  <c r="Q198" i="2"/>
  <c r="X198" i="2" s="1"/>
  <c r="V200" i="2"/>
  <c r="F204" i="2"/>
  <c r="G204" i="2" s="1"/>
  <c r="H203" i="2"/>
  <c r="I203" i="2" s="1"/>
  <c r="A206" i="2"/>
  <c r="C205" i="2"/>
  <c r="O200" i="2"/>
  <c r="N201" i="2"/>
  <c r="O201" i="2" s="1"/>
  <c r="U201" i="2" l="1"/>
  <c r="AB201" i="2" s="1"/>
  <c r="R198" i="2"/>
  <c r="T197" i="2"/>
  <c r="AA197" i="2" s="1"/>
  <c r="Z197" i="2"/>
  <c r="J202" i="2"/>
  <c r="K203" i="2"/>
  <c r="L203" i="2" s="1"/>
  <c r="Y198" i="2"/>
  <c r="S198" i="2"/>
  <c r="Z198" i="2" s="1"/>
  <c r="P200" i="2"/>
  <c r="W200" i="2" s="1"/>
  <c r="F205" i="2"/>
  <c r="G205" i="2" s="1"/>
  <c r="A207" i="2"/>
  <c r="C206" i="2"/>
  <c r="H204" i="2"/>
  <c r="I204" i="2" s="1"/>
  <c r="V202" i="2"/>
  <c r="P201" i="2"/>
  <c r="W201" i="2" s="1"/>
  <c r="O202" i="2"/>
  <c r="V201" i="2" l="1"/>
  <c r="Q200" i="2"/>
  <c r="X200" i="2" s="1"/>
  <c r="Q201" i="2"/>
  <c r="X201" i="2" s="1"/>
  <c r="AC197" i="2"/>
  <c r="AD196" i="2" s="1"/>
  <c r="T198" i="2"/>
  <c r="AA198" i="2" s="1"/>
  <c r="AC198" i="2" s="1"/>
  <c r="H205" i="2"/>
  <c r="I205" i="2" s="1"/>
  <c r="P202" i="2"/>
  <c r="W202" i="2" s="1"/>
  <c r="R201" i="2"/>
  <c r="J203" i="2"/>
  <c r="K204" i="2"/>
  <c r="L204" i="2" s="1"/>
  <c r="M203" i="2"/>
  <c r="F206" i="2"/>
  <c r="G206" i="2" s="1"/>
  <c r="H206" i="2" s="1"/>
  <c r="I206" i="2" s="1"/>
  <c r="K206" i="2" s="1"/>
  <c r="L206" i="2" s="1"/>
  <c r="C207" i="2"/>
  <c r="A208" i="2"/>
  <c r="AD197" i="2" l="1"/>
  <c r="R200" i="2"/>
  <c r="Y200" i="2" s="1"/>
  <c r="AD198" i="2"/>
  <c r="Q202" i="2"/>
  <c r="X202" i="2" s="1"/>
  <c r="M206" i="2"/>
  <c r="J204" i="2"/>
  <c r="K205" i="2"/>
  <c r="L205" i="2" s="1"/>
  <c r="N203" i="2"/>
  <c r="U203" i="2" s="1"/>
  <c r="AB203" i="2" s="1"/>
  <c r="J205" i="2"/>
  <c r="M204" i="2"/>
  <c r="Y201" i="2"/>
  <c r="S201" i="2"/>
  <c r="Z201" i="2" s="1"/>
  <c r="A209" i="2"/>
  <c r="C208" i="2"/>
  <c r="F207" i="2"/>
  <c r="G207" i="2" s="1"/>
  <c r="S200" i="2" l="1"/>
  <c r="R202" i="2"/>
  <c r="O203" i="2"/>
  <c r="V203" i="2"/>
  <c r="N204" i="2"/>
  <c r="O204" i="2" s="1"/>
  <c r="N206" i="2"/>
  <c r="U206" i="2" s="1"/>
  <c r="H207" i="2"/>
  <c r="I207" i="2" s="1"/>
  <c r="Y202" i="2"/>
  <c r="S202" i="2"/>
  <c r="Z202" i="2" s="1"/>
  <c r="P203" i="2"/>
  <c r="W203" i="2" s="1"/>
  <c r="F208" i="2"/>
  <c r="G208" i="2" s="1"/>
  <c r="H208" i="2" s="1"/>
  <c r="I208" i="2" s="1"/>
  <c r="A210" i="2"/>
  <c r="C209" i="2"/>
  <c r="M205" i="2"/>
  <c r="T201" i="2"/>
  <c r="AA201" i="2" s="1"/>
  <c r="AC201" i="2" s="1"/>
  <c r="Z200" i="2" l="1"/>
  <c r="T200" i="2"/>
  <c r="AA200" i="2" s="1"/>
  <c r="Q203" i="2"/>
  <c r="X203" i="2" s="1"/>
  <c r="O206" i="2"/>
  <c r="P206" i="2" s="1"/>
  <c r="W206" i="2" s="1"/>
  <c r="N205" i="2"/>
  <c r="U205" i="2" s="1"/>
  <c r="AB205" i="2" s="1"/>
  <c r="J206" i="2"/>
  <c r="K207" i="2"/>
  <c r="AB206" i="2"/>
  <c r="V206" i="2"/>
  <c r="F209" i="2"/>
  <c r="G209" i="2" s="1"/>
  <c r="H209" i="2" s="1"/>
  <c r="I209" i="2" s="1"/>
  <c r="J208" i="2" s="1"/>
  <c r="AC202" i="2"/>
  <c r="AD201" i="2" s="1"/>
  <c r="J207" i="2"/>
  <c r="P204" i="2"/>
  <c r="W204" i="2" s="1"/>
  <c r="T202" i="2"/>
  <c r="AA202" i="2" s="1"/>
  <c r="A211" i="2"/>
  <c r="C210" i="2"/>
  <c r="K208" i="2"/>
  <c r="U204" i="2"/>
  <c r="AB204" i="2" s="1"/>
  <c r="L208" i="2" l="1"/>
  <c r="M208" i="2" s="1"/>
  <c r="N208" i="2" s="1"/>
  <c r="O208" i="2" s="1"/>
  <c r="L207" i="2"/>
  <c r="M207" i="2" s="1"/>
  <c r="N207" i="2" s="1"/>
  <c r="O207" i="2" s="1"/>
  <c r="AC200" i="2"/>
  <c r="R203" i="2"/>
  <c r="Y203" i="2" s="1"/>
  <c r="Q206" i="2"/>
  <c r="X206" i="2" s="1"/>
  <c r="Q204" i="2"/>
  <c r="X204" i="2" s="1"/>
  <c r="K209" i="2"/>
  <c r="L209" i="2" s="1"/>
  <c r="C211" i="2"/>
  <c r="A212" i="2"/>
  <c r="V204" i="2"/>
  <c r="V205" i="2"/>
  <c r="F210" i="2"/>
  <c r="G210" i="2" s="1"/>
  <c r="H210" i="2" s="1"/>
  <c r="I210" i="2" s="1"/>
  <c r="J209" i="2" s="1"/>
  <c r="O205" i="2"/>
  <c r="S203" i="2" l="1"/>
  <c r="Z203" i="2" s="1"/>
  <c r="AD199" i="2"/>
  <c r="AD200" i="2"/>
  <c r="R206" i="2"/>
  <c r="Y206" i="2" s="1"/>
  <c r="R204" i="2"/>
  <c r="S204" i="2" s="1"/>
  <c r="Z204" i="2" s="1"/>
  <c r="U208" i="2"/>
  <c r="U207" i="2"/>
  <c r="AB207" i="2" s="1"/>
  <c r="P207" i="2"/>
  <c r="W207" i="2" s="1"/>
  <c r="K210" i="2"/>
  <c r="P208" i="2"/>
  <c r="W208" i="2" s="1"/>
  <c r="P205" i="2"/>
  <c r="W205" i="2" s="1"/>
  <c r="A213" i="2"/>
  <c r="C212" i="2"/>
  <c r="F211" i="2"/>
  <c r="G211" i="2" s="1"/>
  <c r="M209" i="2"/>
  <c r="L210" i="2" l="1"/>
  <c r="M210" i="2" s="1"/>
  <c r="N210" i="2" s="1"/>
  <c r="O210" i="2" s="1"/>
  <c r="T203" i="2"/>
  <c r="AA203" i="2" s="1"/>
  <c r="AC203" i="2" s="1"/>
  <c r="AD202" i="2" s="1"/>
  <c r="S206" i="2"/>
  <c r="Q207" i="2"/>
  <c r="X207" i="2" s="1"/>
  <c r="V207" i="2"/>
  <c r="Q208" i="2"/>
  <c r="X208" i="2" s="1"/>
  <c r="AB208" i="2"/>
  <c r="V208" i="2"/>
  <c r="Y204" i="2"/>
  <c r="T204" i="2"/>
  <c r="AA204" i="2" s="1"/>
  <c r="Q205" i="2"/>
  <c r="X205" i="2" s="1"/>
  <c r="N209" i="2"/>
  <c r="O209" i="2" s="1"/>
  <c r="H211" i="2"/>
  <c r="I211" i="2" s="1"/>
  <c r="C213" i="2"/>
  <c r="A214" i="2"/>
  <c r="F212" i="2"/>
  <c r="G212" i="2" s="1"/>
  <c r="R207" i="2" l="1"/>
  <c r="Y207" i="2" s="1"/>
  <c r="Z206" i="2"/>
  <c r="T206" i="2"/>
  <c r="AA206" i="2" s="1"/>
  <c r="U209" i="2"/>
  <c r="AB209" i="2" s="1"/>
  <c r="R205" i="2"/>
  <c r="S205" i="2" s="1"/>
  <c r="Z205" i="2" s="1"/>
  <c r="AC204" i="2"/>
  <c r="AD203" i="2" s="1"/>
  <c r="V209" i="2"/>
  <c r="R208" i="2"/>
  <c r="F213" i="2"/>
  <c r="G213" i="2" s="1"/>
  <c r="H213" i="2" s="1"/>
  <c r="I213" i="2" s="1"/>
  <c r="P210" i="2"/>
  <c r="W210" i="2" s="1"/>
  <c r="J210" i="2"/>
  <c r="K211" i="2"/>
  <c r="C214" i="2"/>
  <c r="A215" i="2"/>
  <c r="U210" i="2"/>
  <c r="H212" i="2"/>
  <c r="I212" i="2" s="1"/>
  <c r="P209" i="2"/>
  <c r="W209" i="2" s="1"/>
  <c r="S207" i="2" l="1"/>
  <c r="Z207" i="2" s="1"/>
  <c r="L211" i="2"/>
  <c r="M211" i="2" s="1"/>
  <c r="N211" i="2" s="1"/>
  <c r="U211" i="2" s="1"/>
  <c r="AB211" i="2" s="1"/>
  <c r="AC206" i="2"/>
  <c r="Y205" i="2"/>
  <c r="Q210" i="2"/>
  <c r="X210" i="2" s="1"/>
  <c r="Q209" i="2"/>
  <c r="X209" i="2" s="1"/>
  <c r="Y208" i="2"/>
  <c r="S208" i="2"/>
  <c r="Z208" i="2" s="1"/>
  <c r="J211" i="2"/>
  <c r="K212" i="2"/>
  <c r="T205" i="2"/>
  <c r="AA205" i="2" s="1"/>
  <c r="AC205" i="2" s="1"/>
  <c r="J212" i="2"/>
  <c r="AB210" i="2"/>
  <c r="V210" i="2"/>
  <c r="C215" i="2"/>
  <c r="A216" i="2"/>
  <c r="F214" i="2"/>
  <c r="G214" i="2" s="1"/>
  <c r="H214" i="2" s="1"/>
  <c r="I214" i="2" s="1"/>
  <c r="J213" i="2" s="1"/>
  <c r="K213" i="2"/>
  <c r="L213" i="2" s="1"/>
  <c r="T207" i="2" l="1"/>
  <c r="AA207" i="2" s="1"/>
  <c r="AC207" i="2" s="1"/>
  <c r="AD206" i="2" s="1"/>
  <c r="L212" i="2"/>
  <c r="M212" i="2" s="1"/>
  <c r="N212" i="2" s="1"/>
  <c r="O212" i="2" s="1"/>
  <c r="R209" i="2"/>
  <c r="R210" i="2"/>
  <c r="Y210" i="2" s="1"/>
  <c r="T208" i="2"/>
  <c r="AA208" i="2" s="1"/>
  <c r="AC208" i="2" s="1"/>
  <c r="V211" i="2"/>
  <c r="AD204" i="2"/>
  <c r="AD205" i="2"/>
  <c r="M213" i="2"/>
  <c r="K214" i="2"/>
  <c r="L214" i="2" s="1"/>
  <c r="C216" i="2"/>
  <c r="A217" i="2"/>
  <c r="O211" i="2"/>
  <c r="F215" i="2"/>
  <c r="G215" i="2" s="1"/>
  <c r="AD207" i="2" l="1"/>
  <c r="S210" i="2"/>
  <c r="Z210" i="2" s="1"/>
  <c r="Y209" i="2"/>
  <c r="S209" i="2"/>
  <c r="N213" i="2"/>
  <c r="U213" i="2" s="1"/>
  <c r="AB213" i="2" s="1"/>
  <c r="P212" i="2"/>
  <c r="W212" i="2" s="1"/>
  <c r="F216" i="2"/>
  <c r="G216" i="2" s="1"/>
  <c r="P211" i="2"/>
  <c r="W211" i="2" s="1"/>
  <c r="A218" i="2"/>
  <c r="C217" i="2"/>
  <c r="M214" i="2"/>
  <c r="H215" i="2"/>
  <c r="I215" i="2" s="1"/>
  <c r="U212" i="2"/>
  <c r="AB212" i="2" s="1"/>
  <c r="T210" i="2" l="1"/>
  <c r="AA210" i="2" s="1"/>
  <c r="AC210" i="2" s="1"/>
  <c r="Z209" i="2"/>
  <c r="T209" i="2"/>
  <c r="AA209" i="2" s="1"/>
  <c r="Q212" i="2"/>
  <c r="X212" i="2" s="1"/>
  <c r="O213" i="2"/>
  <c r="P213" i="2" s="1"/>
  <c r="W213" i="2" s="1"/>
  <c r="V213" i="2"/>
  <c r="V212" i="2"/>
  <c r="Q211" i="2"/>
  <c r="X211" i="2" s="1"/>
  <c r="J214" i="2"/>
  <c r="K215" i="2"/>
  <c r="L215" i="2" s="1"/>
  <c r="N214" i="2"/>
  <c r="O214" i="2" s="1"/>
  <c r="F217" i="2"/>
  <c r="G217" i="2" s="1"/>
  <c r="H217" i="2" s="1"/>
  <c r="I217" i="2" s="1"/>
  <c r="K217" i="2" s="1"/>
  <c r="A219" i="2"/>
  <c r="C219" i="2" s="1"/>
  <c r="C218" i="2"/>
  <c r="H216" i="2"/>
  <c r="I216" i="2" s="1"/>
  <c r="L217" i="2" l="1"/>
  <c r="M217" i="2" s="1"/>
  <c r="N217" i="2" s="1"/>
  <c r="U217" i="2" s="1"/>
  <c r="AB217" i="2" s="1"/>
  <c r="AC209" i="2"/>
  <c r="AD208" i="2" s="1"/>
  <c r="R212" i="2"/>
  <c r="Y212" i="2" s="1"/>
  <c r="R211" i="2"/>
  <c r="Y211" i="2" s="1"/>
  <c r="Q213" i="2"/>
  <c r="J215" i="2"/>
  <c r="K216" i="2"/>
  <c r="F218" i="2"/>
  <c r="G218" i="2" s="1"/>
  <c r="J216" i="2"/>
  <c r="M215" i="2"/>
  <c r="F219" i="2"/>
  <c r="G219" i="2" s="1"/>
  <c r="H219" i="2" s="1"/>
  <c r="I219" i="2" s="1"/>
  <c r="P214" i="2"/>
  <c r="W214" i="2" s="1"/>
  <c r="U214" i="2"/>
  <c r="L216" i="2" l="1"/>
  <c r="M216" i="2" s="1"/>
  <c r="N216" i="2" s="1"/>
  <c r="O216" i="2" s="1"/>
  <c r="AD209" i="2"/>
  <c r="S212" i="2"/>
  <c r="S211" i="2"/>
  <c r="Z211" i="2" s="1"/>
  <c r="O217" i="2"/>
  <c r="P217" i="2" s="1"/>
  <c r="W217" i="2" s="1"/>
  <c r="V217" i="2"/>
  <c r="Q214" i="2"/>
  <c r="X214" i="2" s="1"/>
  <c r="X213" i="2"/>
  <c r="R213" i="2"/>
  <c r="N215" i="2"/>
  <c r="O215" i="2" s="1"/>
  <c r="K219" i="2"/>
  <c r="AB214" i="2"/>
  <c r="V214" i="2"/>
  <c r="H218" i="2"/>
  <c r="I218" i="2" s="1"/>
  <c r="L219" i="2" l="1"/>
  <c r="M219" i="2" s="1"/>
  <c r="N219" i="2" s="1"/>
  <c r="U219" i="2" s="1"/>
  <c r="T211" i="2"/>
  <c r="AA211" i="2" s="1"/>
  <c r="AC211" i="2" s="1"/>
  <c r="AD210" i="2" s="1"/>
  <c r="Z212" i="2"/>
  <c r="T212" i="2"/>
  <c r="AA212" i="2" s="1"/>
  <c r="R214" i="2"/>
  <c r="Y214" i="2" s="1"/>
  <c r="Q217" i="2"/>
  <c r="U215" i="2"/>
  <c r="AB215" i="2" s="1"/>
  <c r="Y213" i="2"/>
  <c r="S213" i="2"/>
  <c r="Z213" i="2" s="1"/>
  <c r="J217" i="2"/>
  <c r="K218" i="2"/>
  <c r="L218" i="2" s="1"/>
  <c r="J218" i="2"/>
  <c r="U216" i="2"/>
  <c r="P216" i="2"/>
  <c r="W216" i="2" s="1"/>
  <c r="P215" i="2"/>
  <c r="W215" i="2" s="1"/>
  <c r="AC212" i="2" l="1"/>
  <c r="AD211" i="2" s="1"/>
  <c r="V215" i="2"/>
  <c r="S214" i="2"/>
  <c r="Z214" i="2" s="1"/>
  <c r="O219" i="2"/>
  <c r="P219" i="2" s="1"/>
  <c r="W219" i="2" s="1"/>
  <c r="Q216" i="2"/>
  <c r="X216" i="2" s="1"/>
  <c r="X217" i="2"/>
  <c r="R217" i="2"/>
  <c r="Q215" i="2"/>
  <c r="X215" i="2" s="1"/>
  <c r="T213" i="2"/>
  <c r="AA213" i="2" s="1"/>
  <c r="AC213" i="2" s="1"/>
  <c r="AB219" i="2"/>
  <c r="V219" i="2"/>
  <c r="M218" i="2"/>
  <c r="AB216" i="2"/>
  <c r="V216" i="2"/>
  <c r="T214" i="2" l="1"/>
  <c r="AA214" i="2" s="1"/>
  <c r="AC214" i="2" s="1"/>
  <c r="AD213" i="2" s="1"/>
  <c r="AD212" i="2"/>
  <c r="R216" i="2"/>
  <c r="Y216" i="2" s="1"/>
  <c r="R215" i="2"/>
  <c r="Y215" i="2" s="1"/>
  <c r="Y217" i="2"/>
  <c r="S217" i="2"/>
  <c r="Z217" i="2" s="1"/>
  <c r="N218" i="2"/>
  <c r="O218" i="2" s="1"/>
  <c r="Q219" i="2"/>
  <c r="S216" i="2" l="1"/>
  <c r="Z216" i="2" s="1"/>
  <c r="S215" i="2"/>
  <c r="U218" i="2"/>
  <c r="AB218" i="2" s="1"/>
  <c r="T217" i="2"/>
  <c r="AA217" i="2" s="1"/>
  <c r="AC217" i="2" s="1"/>
  <c r="X219" i="2"/>
  <c r="R219" i="2"/>
  <c r="Y219" i="2" s="1"/>
  <c r="P218" i="2"/>
  <c r="W218" i="2" s="1"/>
  <c r="T216" i="2" l="1"/>
  <c r="AA216" i="2" s="1"/>
  <c r="AC216" i="2" s="1"/>
  <c r="AD216" i="2" s="1"/>
  <c r="V218" i="2"/>
  <c r="Z215" i="2"/>
  <c r="T215" i="2"/>
  <c r="AA215" i="2" s="1"/>
  <c r="Q218" i="2"/>
  <c r="X218" i="2" s="1"/>
  <c r="S219" i="2"/>
  <c r="Z219" i="2" s="1"/>
  <c r="AC215" i="2" l="1"/>
  <c r="R218" i="2"/>
  <c r="Y218" i="2" s="1"/>
  <c r="T219" i="2"/>
  <c r="AA219" i="2" s="1"/>
  <c r="AC219" i="2" s="1"/>
  <c r="AD214" i="2" l="1"/>
  <c r="AD215" i="2"/>
  <c r="S218" i="2"/>
  <c r="Z218" i="2" s="1"/>
  <c r="T218" i="2" l="1"/>
  <c r="AA218" i="2" s="1"/>
  <c r="AC218" i="2" s="1"/>
  <c r="AD217" i="2" s="1"/>
  <c r="AD218" i="2" l="1"/>
</calcChain>
</file>

<file path=xl/sharedStrings.xml><?xml version="1.0" encoding="utf-8"?>
<sst xmlns="http://schemas.openxmlformats.org/spreadsheetml/2006/main" count="351" uniqueCount="303">
  <si>
    <t>Social Security Benefit</t>
  </si>
  <si>
    <t>Non-SS Ordinary Income</t>
  </si>
  <si>
    <t>LTCG &amp; QDI</t>
  </si>
  <si>
    <t>Single or Joint Return</t>
  </si>
  <si>
    <t>Tax exempt interest</t>
  </si>
  <si>
    <t>Deductions</t>
  </si>
  <si>
    <t>Exemption</t>
  </si>
  <si>
    <t>SS Benefit</t>
  </si>
  <si>
    <t>Graph item</t>
  </si>
  <si>
    <t>SS Relevant Income</t>
  </si>
  <si>
    <t>Filing Status</t>
  </si>
  <si>
    <t>"Std" Deduction</t>
  </si>
  <si>
    <t>"Std" Exemption</t>
  </si>
  <si>
    <t>Social Security 50% threshhold</t>
  </si>
  <si>
    <t>Social Security 85% threshhold</t>
  </si>
  <si>
    <t>Taxable Income</t>
  </si>
  <si>
    <t>LTCG &amp; QDI Taxable</t>
  </si>
  <si>
    <t>Ord Inc Tax Rate &amp; Brackets</t>
  </si>
  <si>
    <t>LTCG &amp; QDI Tax Rate &amp; Brackets</t>
  </si>
  <si>
    <t>Total</t>
  </si>
  <si>
    <t>Tax</t>
  </si>
  <si>
    <t>Increment</t>
  </si>
  <si>
    <t>Taxable Social Security Computation</t>
  </si>
  <si>
    <t>50% SS Tax-able</t>
  </si>
  <si>
    <t>85% SS Tax-able</t>
  </si>
  <si>
    <t>Total SS Tax-able</t>
  </si>
  <si>
    <t>Ordi-nary Taxable</t>
  </si>
  <si>
    <t>Marg-inal Rate</t>
  </si>
  <si>
    <t>&lt;- Blank to graph or enter amount of Social Security benefit</t>
  </si>
  <si>
    <t>Income Falling in Tax Brackets</t>
  </si>
  <si>
    <t>&lt;- Blank for default deduction or enter alternate amount</t>
  </si>
  <si>
    <t>&lt;- Blank for default exemption or enter alternate amount</t>
  </si>
  <si>
    <t>Start at</t>
  </si>
  <si>
    <t>&lt;- Blank to graph or enter amount of ordinary income besides Social Security</t>
  </si>
  <si>
    <t>Wiki:</t>
  </si>
  <si>
    <t>Thread:</t>
  </si>
  <si>
    <t>https://www.bogleheads.org/wiki/Social_Security_tax_impact_calculator</t>
  </si>
  <si>
    <t>https://www.bogleheads.org/forum/viewtopic.php?t=173592</t>
  </si>
  <si>
    <t>Modification of "PapaGeek's" spreadsheet with informative graph of marginal tax rates based on a</t>
  </si>
  <si>
    <t>table that computes marginal tax rates for every $X interval of income. For more information, see</t>
  </si>
  <si>
    <t>This spreadsheet adds the following enhancements:</t>
  </si>
  <si>
    <t>Handles tax exempt interest -- which affects how much SS is taxed</t>
  </si>
  <si>
    <t>qualified dividend income (QDI) which are taxed differently.</t>
  </si>
  <si>
    <t>Splits non-SS income between non-SS ordinary income and long term capital gains (LTCG) &amp;</t>
  </si>
  <si>
    <t>Allows the user to choose whether Non-SS Ordinary Income,  LTCG &amp; QDI, or SS Benefits</t>
  </si>
  <si>
    <t>is the "variable" to plot.</t>
  </si>
  <si>
    <t>The spreadsheet ignores other aspects of PapaGeek's spreadsheet such as "non-taxable" and "gross"</t>
  </si>
  <si>
    <t>https://www.bogleheads.org/forum/viewtopic.php?p=2622990#p2622990</t>
  </si>
  <si>
    <t>http://www.irs.gov/publications/p915/ar02.html#en_US_2014_publink100097892</t>
  </si>
  <si>
    <t>Purpose</t>
  </si>
  <si>
    <t>https://www.bogleheads.org/wiki/Taxation_of_Social_Security_benefits#Examples</t>
  </si>
  <si>
    <t>Non-SS Ordinary Income: e.g., wages, interest, IRA withdrawals</t>
  </si>
  <si>
    <t>Long term capital gains (LTCG) plus Qualified Dividend Income (QDI)</t>
  </si>
  <si>
    <t>Social Security benefits received</t>
  </si>
  <si>
    <t>Main sheet</t>
  </si>
  <si>
    <t>To blank a cell press the &lt;Delete&gt; key. To indicate no income, enter a zero.</t>
  </si>
  <si>
    <t>Otherwise enter numbers to use for the deduction or exemption.</t>
  </si>
  <si>
    <t>Calc sheet</t>
  </si>
  <si>
    <t>Possible uses</t>
  </si>
  <si>
    <t>How much to convert from a traditional IRA to a Roth IRA.</t>
  </si>
  <si>
    <t>How much LTCG to take</t>
  </si>
  <si>
    <t>When to begin taking Social Security.</t>
  </si>
  <si>
    <t>Seeing the graph of marginal tax rates can help with the following decisions:</t>
  </si>
  <si>
    <t>For an example of marginal tax rates related to how SS benefits are taxed:</t>
  </si>
  <si>
    <t>income; and puts no "tick" marks on the graph.</t>
  </si>
  <si>
    <t>For examples of how the taxable portion of SS is computed see IRS examples in Pub 915:</t>
  </si>
  <si>
    <t>For discussion of how taxes on LTCG &amp; QDI are computed see this post:</t>
  </si>
  <si>
    <t>http://www.irs.gov/pub/irs-drop/rp-14-61.pdf</t>
  </si>
  <si>
    <t>Limitations</t>
  </si>
  <si>
    <t>For comprehensive tax calcuations and to check the results of this spreadsheet, use</t>
  </si>
  <si>
    <t>Initial release - version 1</t>
  </si>
  <si>
    <t>Mar-ginal SS Taxable</t>
  </si>
  <si>
    <t>Tax year</t>
  </si>
  <si>
    <t>Number filers age 65 or older</t>
  </si>
  <si>
    <t># age 65</t>
  </si>
  <si>
    <t>Blank or enter values in the 9 yellow cells B1:B9.</t>
  </si>
  <si>
    <t>Blank cells B8 or B9 to use the default deduction or exemption.</t>
  </si>
  <si>
    <t>Tables sheet</t>
  </si>
  <si>
    <t>(Background color of cells is cosmetic.)</t>
  </si>
  <si>
    <t>To change the default start and increment for the graphs enter different amounts in the</t>
  </si>
  <si>
    <t>&lt;- Blank to graph or enter amount of long-term capital gains plus qualified dividend income</t>
  </si>
  <si>
    <t>Deductions plus Exemptions</t>
  </si>
  <si>
    <t>Adjusted gross income</t>
  </si>
  <si>
    <t>Increased income &amp; SS benefit</t>
  </si>
  <si>
    <t>Marginal SS taxable</t>
  </si>
  <si>
    <t>50% SS taxable</t>
  </si>
  <si>
    <t>85% SS taxable</t>
  </si>
  <si>
    <t>Total SS taxable</t>
  </si>
  <si>
    <t>Marginal tax rate</t>
  </si>
  <si>
    <t>&lt;- spacing</t>
  </si>
  <si>
    <t>&lt;- # columns</t>
  </si>
  <si>
    <t>Deductions (blank for standard)</t>
  </si>
  <si>
    <t>Exemption (blank for standard)</t>
  </si>
  <si>
    <t>Total tax</t>
  </si>
  <si>
    <t>https://www.irs.gov/pub/irs-drop/rp-15-53.pdf</t>
  </si>
  <si>
    <t>Version 2</t>
  </si>
  <si>
    <t>add 28% tax bracket</t>
  </si>
  <si>
    <t>Version 3</t>
  </si>
  <si>
    <t>add graph of marginal taxable SS underneath marginal tax chart</t>
  </si>
  <si>
    <t>Version 4</t>
  </si>
  <si>
    <t>add Tables sheet to handle tax years 2014 - 2016</t>
  </si>
  <si>
    <t>add Compare sheet to compute specific inputs</t>
  </si>
  <si>
    <t>Compare sheet</t>
  </si>
  <si>
    <t>Purpose is to determine marginal tax rate between two specific sets of inputs.</t>
  </si>
  <si>
    <t>Blank, delete, or just ignore excess columns.</t>
  </si>
  <si>
    <t>Enter values  in rows 1:7 beginning with column B.</t>
  </si>
  <si>
    <t>Blank rows 8:9 to use default deduction/exemption or enter alternate values beginning in col B.</t>
  </si>
  <si>
    <t>Increased taxable SS</t>
  </si>
  <si>
    <t>Increased tax</t>
  </si>
  <si>
    <t>&lt;- Blank to graph or enter amount of municipal bond interest</t>
  </si>
  <si>
    <t>Version 5</t>
  </si>
  <si>
    <t>You can choose among four types of "income" to use as the basis for the graph:</t>
  </si>
  <si>
    <t>Tax exempt interest on municipal bonds</t>
  </si>
  <si>
    <r>
      <rPr>
        <b/>
        <sz val="10"/>
        <color theme="1"/>
        <rFont val="Verdana"/>
        <family val="2"/>
      </rPr>
      <t>Blank Tax exempt interest</t>
    </r>
    <r>
      <rPr>
        <sz val="10"/>
        <color theme="1"/>
        <rFont val="Verdana"/>
        <family val="2"/>
      </rPr>
      <t xml:space="preserve"> and enter Non-SS ord inc, LTCG &amp; QDI, &amp; SS benefit</t>
    </r>
  </si>
  <si>
    <t>See the effect of tax exempt interest on SS taxability and hence on taxes.</t>
  </si>
  <si>
    <r>
      <t xml:space="preserve">Enter Tax exempt interest and Non-SS ord inc, </t>
    </r>
    <r>
      <rPr>
        <b/>
        <sz val="10"/>
        <color theme="3"/>
        <rFont val="Verdana"/>
        <family val="2"/>
      </rPr>
      <t>blank LTCG &amp; QDI</t>
    </r>
    <r>
      <rPr>
        <sz val="10"/>
        <color theme="1"/>
        <rFont val="Verdana"/>
        <family val="2"/>
      </rPr>
      <t>, and enter SS benefit.</t>
    </r>
  </si>
  <si>
    <r>
      <t xml:space="preserve">Enter Tax exempt interest, Non-SS ord inc, and LTCG &amp; QDI, and </t>
    </r>
    <r>
      <rPr>
        <b/>
        <sz val="10"/>
        <color theme="3"/>
        <rFont val="Verdana"/>
        <family val="2"/>
      </rPr>
      <t>blank SS benefit</t>
    </r>
    <r>
      <rPr>
        <sz val="10"/>
        <color theme="1"/>
        <rFont val="Verdana"/>
        <family val="2"/>
      </rPr>
      <t>.</t>
    </r>
  </si>
  <si>
    <t>One and only one of the four cells B4:B7 must be blank; enter numbers for the other three.</t>
  </si>
  <si>
    <t>If none of these four cells is blank or if more than one is blank, a warning appears.</t>
  </si>
  <si>
    <t>allow tax-exempt interest to also be chosen as the variable to graph</t>
  </si>
  <si>
    <t>elim INDIRECT() function on Compare sheet (used to pick Single_tbl or Joint_tbl)</t>
  </si>
  <si>
    <t>to avoid spurious Save prompt when close unmodified workbook.</t>
  </si>
  <si>
    <t>add 2017 to Tables sheet</t>
  </si>
  <si>
    <t>add 2018 to Tables sheet</t>
  </si>
  <si>
    <t>Ordinary bracket 1</t>
  </si>
  <si>
    <t>Ordinary bracket 2</t>
  </si>
  <si>
    <t>Ordinary bracket 3</t>
  </si>
  <si>
    <t>Ordinary bracket 4</t>
  </si>
  <si>
    <t>LTCG &amp; QDI bracket 1</t>
  </si>
  <si>
    <t>LTCG &amp; QDI bracket 2</t>
  </si>
  <si>
    <t>add rate_tbl to handle new ordinary rates in TCJA</t>
  </si>
  <si>
    <t>version 6</t>
  </si>
  <si>
    <t>Rate: LTCG &amp; QDI bracket 1</t>
  </si>
  <si>
    <t>Rate: LTCG &amp; QDI bracket 2</t>
  </si>
  <si>
    <t>Single &amp; Joint lookup tables</t>
  </si>
  <si>
    <t>Extra deduction age 65 or more</t>
  </si>
  <si>
    <t>Ordinary income bracket 1 floor</t>
  </si>
  <si>
    <t>Ordinary income bracket 2 floor</t>
  </si>
  <si>
    <t>Ordinary income bracket 3 floor</t>
  </si>
  <si>
    <t>Ordinary income bracket 4 floor</t>
  </si>
  <si>
    <t>LTCG &amp; QDI bracket 1 floor</t>
  </si>
  <si>
    <t>LTCG &amp; QDI bracket 2 floor</t>
  </si>
  <si>
    <t>Ordinary bracket 5</t>
  </si>
  <si>
    <t>Ordinary income bracket 5 floor</t>
  </si>
  <si>
    <t>Ordinary bracket 6</t>
  </si>
  <si>
    <t>Ordinary bracket 7</t>
  </si>
  <si>
    <t>Ordinary income bracket 6 floor</t>
  </si>
  <si>
    <t>Ordinary income bracket 7 floor</t>
  </si>
  <si>
    <t>for 2016 see:</t>
  </si>
  <si>
    <t>for 2017 see:</t>
  </si>
  <si>
    <t>for 2015 see:</t>
  </si>
  <si>
    <t>https://www.irs.gov/pub/irs-drop/rp-13-35.pdf</t>
  </si>
  <si>
    <t>https://www.irs.gov/pub/irs-drop/rp-16-55.pdf</t>
  </si>
  <si>
    <t>https://www.kitces.com/blog/final-gop-tax-plan-summary-tcja-2017-individual-tax-brackets-pass-through-strategies/</t>
  </si>
  <si>
    <t>for 2014 see:</t>
  </si>
  <si>
    <t>For list of tax brackets, standard deduction, and exemptions</t>
  </si>
  <si>
    <t>for 2018 old see:</t>
  </si>
  <si>
    <t>for 2018 new see:</t>
  </si>
  <si>
    <t>https://www.irs.gov/pub/irs-drop/rp-17-58.pdf</t>
  </si>
  <si>
    <t>LTCG &amp; QDI bracket 3 floor</t>
  </si>
  <si>
    <t>LTCG &amp; QDI bracket 3</t>
  </si>
  <si>
    <t>Rate: ord income bracket 1</t>
  </si>
  <si>
    <t>Rate: ord income bracket 2</t>
  </si>
  <si>
    <t>Rate: ord income bracket 3</t>
  </si>
  <si>
    <t>Rate: ord income bracket 4</t>
  </si>
  <si>
    <t>Rate: ord income bracket 5</t>
  </si>
  <si>
    <t>(obsolete - replaced by new TCJA law)</t>
  </si>
  <si>
    <t>Ordinary income taxable</t>
  </si>
  <si>
    <t>"single_tbl",  "joint_tbl", "combo_tbl", and "rate_tbl" to include new columns.</t>
  </si>
  <si>
    <t>https://www.taxact.com/tools/tax-calculator</t>
  </si>
  <si>
    <t>(Note: does not handle tax exempt interest which can affect SS taxability)</t>
  </si>
  <si>
    <t>Rate table (added Dec 2018)</t>
  </si>
  <si>
    <t>Year</t>
  </si>
  <si>
    <t>add Years sheet to estimate tax in constant dollars over many years</t>
  </si>
  <si>
    <t>add Retire sheet to estimate needed TIRA withdrawals given SS</t>
  </si>
  <si>
    <t>for 2019 see:</t>
  </si>
  <si>
    <t>https://www.irs.gov/newsroom/irs-provides-tax-inflation-adjustments-for-tax-year-2019</t>
  </si>
  <si>
    <t>add 2019 to Tables sheet</t>
  </si>
  <si>
    <t>version 7</t>
  </si>
  <si>
    <t>add 5th tax bracket (32% for 2018)</t>
  </si>
  <si>
    <t>allow user to change first age in tables on Years &amp; Retire sheets</t>
  </si>
  <si>
    <t>Construct tax calculation formula</t>
  </si>
  <si>
    <t>Bracket</t>
  </si>
  <si>
    <t>Floor</t>
  </si>
  <si>
    <t>Rate</t>
  </si>
  <si>
    <t>Increase</t>
  </si>
  <si>
    <t>Taxable income cell</t>
  </si>
  <si>
    <t>Formula</t>
  </si>
  <si>
    <t>After copying, preceede it with "=" to turn it into a formula.</t>
  </si>
  <si>
    <t>construct tax formula on Tables sheet</t>
  </si>
  <si>
    <t>add 2020 to Tables sheet</t>
  </si>
  <si>
    <t>version 8</t>
  </si>
  <si>
    <t>add Wiki sheet to construct tables for</t>
  </si>
  <si>
    <t>https://www.bogleheads.org/wiki/Taxation_of_Social_Security_benefits</t>
  </si>
  <si>
    <t>50% SS</t>
  </si>
  <si>
    <t>85% SS</t>
  </si>
  <si>
    <t>Marginal Tax Rate</t>
  </si>
  <si>
    <t>Taxable SS</t>
  </si>
  <si>
    <t>Adjusted Gross Income</t>
  </si>
  <si>
    <t>Additional SS taxed for each $1 income</t>
  </si>
  <si>
    <t>###,##0</t>
  </si>
  <si>
    <t>#0%</t>
  </si>
  <si>
    <t>Assumptions</t>
  </si>
  <si>
    <t>Non SS Income</t>
  </si>
  <si>
    <t>Tax Bracket Floor</t>
  </si>
  <si>
    <t>Tax Bracket Rate</t>
  </si>
  <si>
    <t>Begin tax bracket # 1</t>
  </si>
  <si>
    <t>Begin tax bracket # 2</t>
  </si>
  <si>
    <t>Begin tax bracket # 3</t>
  </si>
  <si>
    <t>Begin tax bracket # 4</t>
  </si>
  <si>
    <t>Begin tax bracket # 5</t>
  </si>
  <si>
    <t>SS 50% threshhold</t>
  </si>
  <si>
    <t>SS 85% threshhold</t>
  </si>
  <si>
    <t>Std deduction &amp; thresholds</t>
  </si>
  <si>
    <t>Non SS income where marginal rate changes</t>
  </si>
  <si>
    <t>Marginal rate table</t>
  </si>
  <si>
    <t>Wiki sheet</t>
  </si>
  <si>
    <t>Builds the single or joint table for whoever prepares the Bogleheads Taxation of SS benefits webpage:</t>
  </si>
  <si>
    <t>&lt;-- text format</t>
  </si>
  <si>
    <t>&lt;-- column width</t>
  </si>
  <si>
    <t>Non SS income 50% SS threshold</t>
  </si>
  <si>
    <t>Non SS income 85% SS threshold</t>
  </si>
  <si>
    <t>Non SS income 85% SS maximum</t>
  </si>
  <si>
    <t>Formatting information used below</t>
  </si>
  <si>
    <t>add 2nd monospaced table on Wiki sheet including 3 more columns</t>
  </si>
  <si>
    <t>Relevant Income</t>
  </si>
  <si>
    <t>mod col A captions on Compare sheet to optionally display bracket percents</t>
  </si>
  <si>
    <t>&lt;- assume all column bracket percents the same</t>
  </si>
  <si>
    <t>instead of bracket number, producing simpler monospaced output.</t>
  </si>
  <si>
    <t>add 2021 to Tables sheet</t>
  </si>
  <si>
    <t>Begin LTCG bracket # 2</t>
  </si>
  <si>
    <t>End LTCG bracket # 2</t>
  </si>
  <si>
    <t>LTCG &amp; QDI Tax Bracket</t>
  </si>
  <si>
    <t>Ordinary Income Tax Bracket</t>
  </si>
  <si>
    <t>#0%;;</t>
  </si>
  <si>
    <t>#$0.00;;</t>
  </si>
  <si>
    <t>expand Wiki table to optionally include LTCG &amp; QDI</t>
  </si>
  <si>
    <t>Range</t>
  </si>
  <si>
    <t>###,##0;;</t>
  </si>
  <si>
    <t>Rate table in monospaced font for code block (modified 12/14/2020)</t>
  </si>
  <si>
    <t>&lt;- Enter tax year</t>
  </si>
  <si>
    <t>add 2022 to Tables sheet</t>
  </si>
  <si>
    <t>for 2023 see:</t>
  </si>
  <si>
    <t>https://www.irs.gov/pub/irs-drop/rp-22-38.pdf</t>
  </si>
  <si>
    <t>add 2023 to Tables sheet</t>
  </si>
  <si>
    <t>fix "Non SS Income" tax bracket formulas on Wiki sheet to work with small SS (&lt; $9,000 or $12,000)</t>
  </si>
  <si>
    <t>add 2024 to Tables sheet</t>
  </si>
  <si>
    <t>for 2024 see:</t>
  </si>
  <si>
    <t>https://www.irs.gov/pub/irs-drop/rp-23-34.pdf</t>
  </si>
  <si>
    <t>add 2025 to Tables sheet</t>
  </si>
  <si>
    <t>version 9</t>
  </si>
  <si>
    <t>Incorporate temp extra deduction for 65+ beginning 2025</t>
  </si>
  <si>
    <t>Temp extra deduction age 65+</t>
  </si>
  <si>
    <t>Phaseout starts</t>
  </si>
  <si>
    <t>Phaseout complete</t>
  </si>
  <si>
    <t>Single=1/Joint=2</t>
  </si>
  <si>
    <t>Single = 1 / Joint = 2</t>
  </si>
  <si>
    <t>Adj Gross Income</t>
  </si>
  <si>
    <t>Deduct &amp; Exempt</t>
  </si>
  <si>
    <t>Use 1 or 2 instead of "Single" or "Joint"</t>
  </si>
  <si>
    <t>&lt;- Enter 1 for Single / 2 for Joint</t>
  </si>
  <si>
    <t>&lt;- Enter 0 or 1 for Single / 0, 1, or 2 for Joint</t>
  </si>
  <si>
    <t>Adjusted Gross Income &amp; Taxable Income</t>
  </si>
  <si>
    <t>Temp extra 65+ deduction</t>
  </si>
  <si>
    <t>Max temp extra 65+ exemption</t>
  </si>
  <si>
    <t>Extra phaseout start</t>
  </si>
  <si>
    <t>Extra phaseout complete</t>
  </si>
  <si>
    <t>Temp Extra 65+ Deduct</t>
  </si>
  <si>
    <t>Tax Bracket</t>
  </si>
  <si>
    <t>Temp extra ded phsseout start</t>
  </si>
  <si>
    <t>Temp extra ded phsseout complete</t>
  </si>
  <si>
    <t>Non SS Ordinary Income</t>
  </si>
  <si>
    <t>Temp Extra Deduction Phase Out</t>
  </si>
  <si>
    <t>#0.000%</t>
  </si>
  <si>
    <t xml:space="preserve"> ------  -------    ------   ------  -------  ---------  -----  --------</t>
  </si>
  <si>
    <t xml:space="preserve"> Income  Soc Sec    Income   Income  Bracket  $1 Income    Out  Tax Rate</t>
  </si>
  <si>
    <t xml:space="preserve"> Non SS  Taxable     Gross  Taxable      Tax   for each  Phase  Marginal</t>
  </si>
  <si>
    <t xml:space="preserve">                  Adjusted                     SS Taxed  Deduc</t>
  </si>
  <si>
    <t xml:space="preserve">                                             Additional  Extra</t>
  </si>
  <si>
    <t>Table Col</t>
  </si>
  <si>
    <t>Sng=1/Jnt=2</t>
  </si>
  <si>
    <t>Add columns for tax years 2026 and later and then expand definition of range names</t>
  </si>
  <si>
    <t>Optional: Enter cells C37:C39 to constuct a formula to compute tax based on taxable income.</t>
  </si>
  <si>
    <t>B33</t>
  </si>
  <si>
    <t>This formula text in cell D35 can be copied and pasted to another Excel workbook</t>
  </si>
  <si>
    <t>Value</t>
  </si>
  <si>
    <t>two yellow cells B11:B12.</t>
  </si>
  <si>
    <t>Sheet is set up to compare eleven input sets illustrating this wiki 2017 Single taxpayer example:</t>
  </si>
  <si>
    <t>But you need not use all eleven sets.</t>
  </si>
  <si>
    <t>Change cell N1 if want less than 11 columns.</t>
  </si>
  <si>
    <t>Change cell N2 if want different spacing between columns.</t>
  </si>
  <si>
    <t>###,##0;;-_0_0</t>
  </si>
  <si>
    <t>##0.000%</t>
  </si>
  <si>
    <t>Note: new formula</t>
  </si>
  <si>
    <t>| | |</t>
  </si>
  <si>
    <t>v v v</t>
  </si>
  <si>
    <t>Remove Years, Retire, and RNotes sheets. Too much work to maintain since seldom used.</t>
  </si>
  <si>
    <r>
      <rPr>
        <sz val="10"/>
        <rFont val="Verdana"/>
        <family val="2"/>
      </rPr>
      <t xml:space="preserve">Enter tax exempt interest, </t>
    </r>
    <r>
      <rPr>
        <b/>
        <sz val="10"/>
        <rFont val="Verdana"/>
        <family val="2"/>
      </rPr>
      <t>blank Non-SS ord inc,</t>
    </r>
    <r>
      <rPr>
        <sz val="10"/>
        <color theme="1"/>
        <rFont val="Verdana"/>
        <family val="2"/>
      </rPr>
      <t xml:space="preserve"> and enter LTCG &amp; QDI and SS benefit.</t>
    </r>
  </si>
  <si>
    <t>Only purpose of column N is for me to copy and paste into a Bogleheads forum code block.</t>
  </si>
  <si>
    <t>Leave cell N3 as TRUE unless columns have different bracket rates. E.g., 2017 and 2018.</t>
  </si>
  <si>
    <t>Revise basic standard deductions for 2025</t>
  </si>
  <si>
    <t>Bug fix: forgot to use alternate deduction &amp; exemption from Main sheet on Calc sheet</t>
  </si>
  <si>
    <t>add 2026 to Tables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</si>
</sst>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m/dd/yy;@"/>
    <numFmt numFmtId="165" formatCode="_(* #,##0_);_(* \(#,##0\);_(* &quot;-&quot;??_);_(@_)"/>
    <numFmt numFmtId="166" formatCode="0.0%"/>
    <numFmt numFmtId="167" formatCode="_(* #,##0.000000_);_(* \(#,##0.000000\);_(* &quot;-&quot;??_);_(@_)"/>
    <numFmt numFmtId="168" formatCode="0_);[Red]\(0\)"/>
    <numFmt numFmtId="169" formatCode="0.000%"/>
  </numFmts>
  <fonts count="16" x14ac:knownFonts="1">
    <font>
      <sz val="10"/>
      <color theme="1"/>
      <name val="Verdana"/>
      <family val="2"/>
    </font>
    <font>
      <sz val="11"/>
      <color theme="1"/>
      <name val="Calibri"/>
      <family val="2"/>
      <scheme val="minor"/>
    </font>
    <font>
      <sz val="11"/>
      <color theme="1"/>
      <name val="Calibri"/>
      <family val="2"/>
      <scheme val="minor"/>
    </font>
    <font>
      <b/>
      <sz val="10"/>
      <color rgb="FFFF0000"/>
      <name val="Verdana"/>
      <family val="2"/>
    </font>
    <font>
      <sz val="10"/>
      <color theme="1"/>
      <name val="Verdana"/>
      <family val="2"/>
    </font>
    <font>
      <b/>
      <sz val="10"/>
      <color theme="1"/>
      <name val="Verdana"/>
      <family val="2"/>
    </font>
    <font>
      <b/>
      <sz val="14"/>
      <color theme="1"/>
      <name val="Verdana"/>
      <family val="2"/>
    </font>
    <font>
      <u/>
      <sz val="10"/>
      <color theme="10"/>
      <name val="Verdana"/>
      <family val="2"/>
    </font>
    <font>
      <sz val="11"/>
      <color rgb="FF000000"/>
      <name val="Calibri"/>
      <family val="2"/>
    </font>
    <font>
      <b/>
      <sz val="10"/>
      <color theme="3"/>
      <name val="Verdana"/>
      <family val="2"/>
    </font>
    <font>
      <u/>
      <sz val="10"/>
      <color theme="11"/>
      <name val="Verdana"/>
      <family val="2"/>
    </font>
    <font>
      <sz val="10"/>
      <color theme="1"/>
      <name val="Courier"/>
    </font>
    <font>
      <sz val="10"/>
      <color theme="1"/>
      <name val="Courier New"/>
      <family val="3"/>
    </font>
    <font>
      <sz val="8"/>
      <name val="Verdana"/>
      <family val="2"/>
    </font>
    <font>
      <sz val="10"/>
      <name val="Verdana"/>
      <family val="2"/>
    </font>
    <font>
      <b/>
      <sz val="10"/>
      <name val="Verdana"/>
      <family val="2"/>
    </font>
  </fonts>
  <fills count="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s>
  <cellStyleXfs count="40">
    <xf numFmtId="0" fontId="0" fillId="0" borderId="0"/>
    <xf numFmtId="43" fontId="4" fillId="0" borderId="0" applyFont="0" applyFill="0" applyBorder="0" applyAlignment="0" applyProtection="0"/>
    <xf numFmtId="9" fontId="4"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164" fontId="0" fillId="0" borderId="0" xfId="0" applyNumberFormat="1" applyAlignment="1">
      <alignment horizontal="center"/>
    </xf>
    <xf numFmtId="0" fontId="3" fillId="0" borderId="0" xfId="0" applyFont="1"/>
    <xf numFmtId="165" fontId="0" fillId="0" borderId="0" xfId="1" applyNumberFormat="1" applyFont="1"/>
    <xf numFmtId="165" fontId="0" fillId="0" borderId="0" xfId="0" applyNumberFormat="1"/>
    <xf numFmtId="9" fontId="0" fillId="0" borderId="0" xfId="2" applyFont="1" applyAlignment="1">
      <alignment horizontal="right"/>
    </xf>
    <xf numFmtId="165" fontId="0" fillId="0" borderId="0" xfId="1" applyNumberFormat="1" applyFont="1" applyAlignment="1">
      <alignment horizontal="right"/>
    </xf>
    <xf numFmtId="10" fontId="0" fillId="0" borderId="0" xfId="2" applyNumberFormat="1" applyFont="1"/>
    <xf numFmtId="165" fontId="5" fillId="0" borderId="2" xfId="1" applyNumberFormat="1" applyFont="1" applyBorder="1" applyAlignment="1">
      <alignment horizontal="centerContinuous"/>
    </xf>
    <xf numFmtId="165" fontId="0" fillId="0" borderId="3" xfId="1" applyNumberFormat="1" applyFont="1" applyBorder="1" applyAlignment="1">
      <alignment horizontal="centerContinuous"/>
    </xf>
    <xf numFmtId="165" fontId="0" fillId="0" borderId="4" xfId="1" applyNumberFormat="1" applyFont="1" applyBorder="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6" fillId="0" borderId="0" xfId="0" applyFont="1" applyAlignment="1">
      <alignment horizontal="center"/>
    </xf>
    <xf numFmtId="165" fontId="0" fillId="3" borderId="0" xfId="1" applyNumberFormat="1" applyFont="1" applyFill="1" applyAlignment="1">
      <alignment horizontal="center"/>
    </xf>
    <xf numFmtId="165" fontId="0" fillId="3" borderId="0" xfId="1" applyNumberFormat="1" applyFont="1" applyFill="1"/>
    <xf numFmtId="0" fontId="0" fillId="0" borderId="0" xfId="0" applyAlignment="1">
      <alignment horizontal="left"/>
    </xf>
    <xf numFmtId="0" fontId="0" fillId="0" borderId="0" xfId="1" applyNumberFormat="1" applyFont="1" applyAlignment="1">
      <alignment horizontal="left"/>
    </xf>
    <xf numFmtId="0" fontId="0" fillId="0" borderId="0" xfId="1" applyNumberFormat="1" applyFont="1"/>
    <xf numFmtId="0" fontId="7" fillId="0" borderId="0" xfId="3" applyAlignment="1" applyProtection="1"/>
    <xf numFmtId="0" fontId="5" fillId="0" borderId="0" xfId="0" applyFont="1"/>
    <xf numFmtId="0" fontId="8" fillId="0" borderId="0" xfId="0" applyFont="1"/>
    <xf numFmtId="0" fontId="0" fillId="2" borderId="0" xfId="0" applyFill="1" applyAlignment="1" applyProtection="1">
      <alignment horizontal="center"/>
      <protection locked="0"/>
    </xf>
    <xf numFmtId="165" fontId="0" fillId="2" borderId="0" xfId="1" applyNumberFormat="1" applyFont="1" applyFill="1" applyProtection="1">
      <protection locked="0"/>
    </xf>
    <xf numFmtId="165" fontId="0" fillId="2" borderId="5" xfId="1" applyNumberFormat="1" applyFont="1" applyFill="1" applyBorder="1" applyProtection="1">
      <protection locked="0"/>
    </xf>
    <xf numFmtId="165" fontId="0" fillId="2" borderId="6" xfId="1" applyNumberFormat="1" applyFont="1" applyFill="1" applyBorder="1" applyProtection="1">
      <protection locked="0"/>
    </xf>
    <xf numFmtId="165" fontId="0" fillId="2" borderId="7" xfId="1" applyNumberFormat="1" applyFont="1" applyFill="1" applyBorder="1" applyProtection="1">
      <protection locked="0"/>
    </xf>
    <xf numFmtId="0" fontId="0" fillId="2" borderId="0" xfId="1" applyNumberFormat="1" applyFont="1" applyFill="1" applyAlignment="1" applyProtection="1">
      <alignment horizontal="center"/>
      <protection locked="0"/>
    </xf>
    <xf numFmtId="165" fontId="5" fillId="0" borderId="3" xfId="1" applyNumberFormat="1" applyFont="1" applyBorder="1" applyAlignment="1">
      <alignment horizontal="centerContinuous"/>
    </xf>
    <xf numFmtId="0" fontId="5" fillId="0" borderId="8" xfId="0" applyFont="1" applyBorder="1" applyAlignment="1">
      <alignment horizontal="centerContinuous"/>
    </xf>
    <xf numFmtId="0" fontId="0" fillId="0" borderId="9" xfId="0" applyBorder="1" applyAlignment="1">
      <alignment horizontal="centerContinuous"/>
    </xf>
    <xf numFmtId="0" fontId="0" fillId="0" borderId="10" xfId="0" applyBorder="1" applyAlignment="1">
      <alignment horizontal="centerContinuous"/>
    </xf>
    <xf numFmtId="165" fontId="0" fillId="0" borderId="11" xfId="1" applyNumberFormat="1" applyFont="1" applyBorder="1"/>
    <xf numFmtId="165" fontId="0" fillId="0" borderId="0" xfId="1" applyNumberFormat="1" applyFont="1" applyBorder="1"/>
    <xf numFmtId="165" fontId="0" fillId="0" borderId="12" xfId="1" applyNumberFormat="1" applyFont="1" applyBorder="1"/>
    <xf numFmtId="165" fontId="0" fillId="0" borderId="13" xfId="1" applyNumberFormat="1" applyFont="1" applyBorder="1"/>
    <xf numFmtId="165" fontId="0" fillId="0" borderId="14" xfId="1" applyNumberFormat="1" applyFont="1" applyBorder="1"/>
    <xf numFmtId="165" fontId="0" fillId="0" borderId="15" xfId="1" applyNumberFormat="1" applyFont="1" applyBorder="1"/>
    <xf numFmtId="165" fontId="0" fillId="0" borderId="12" xfId="0" applyNumberFormat="1" applyBorder="1"/>
    <xf numFmtId="165" fontId="0" fillId="0" borderId="11" xfId="0" applyNumberFormat="1" applyBorder="1"/>
    <xf numFmtId="10" fontId="0" fillId="0" borderId="6" xfId="2" applyNumberFormat="1" applyFont="1" applyBorder="1"/>
    <xf numFmtId="10" fontId="0" fillId="0" borderId="7" xfId="2" applyNumberFormat="1" applyFont="1" applyBorder="1"/>
    <xf numFmtId="166" fontId="0" fillId="0" borderId="12" xfId="2" applyNumberFormat="1" applyFont="1" applyBorder="1"/>
    <xf numFmtId="166" fontId="0" fillId="0" borderId="15" xfId="2" applyNumberFormat="1" applyFont="1" applyBorder="1"/>
    <xf numFmtId="0" fontId="5" fillId="0" borderId="0" xfId="0" applyFont="1" applyAlignment="1">
      <alignment horizontal="left"/>
    </xf>
    <xf numFmtId="0" fontId="0" fillId="0" borderId="0" xfId="0" applyAlignment="1">
      <alignment horizontal="center"/>
    </xf>
    <xf numFmtId="0" fontId="0" fillId="0" borderId="0" xfId="1" applyNumberFormat="1" applyFont="1" applyAlignment="1">
      <alignment horizontal="center"/>
    </xf>
    <xf numFmtId="165" fontId="0" fillId="2" borderId="0" xfId="1" applyNumberFormat="1" applyFont="1" applyFill="1" applyBorder="1" applyProtection="1">
      <protection locked="0"/>
    </xf>
    <xf numFmtId="0" fontId="0" fillId="2" borderId="0" xfId="1" applyNumberFormat="1" applyFont="1" applyFill="1" applyBorder="1" applyAlignment="1" applyProtection="1">
      <alignment horizontal="center"/>
      <protection locked="0"/>
    </xf>
    <xf numFmtId="165" fontId="0" fillId="2" borderId="14" xfId="1" applyNumberFormat="1" applyFont="1" applyFill="1" applyBorder="1" applyProtection="1">
      <protection locked="0"/>
    </xf>
    <xf numFmtId="0" fontId="11" fillId="0" borderId="0" xfId="0" applyFont="1"/>
    <xf numFmtId="0" fontId="0" fillId="0" borderId="14" xfId="0" applyBorder="1"/>
    <xf numFmtId="165" fontId="0" fillId="0" borderId="0" xfId="1" applyNumberFormat="1" applyFont="1" applyProtection="1"/>
    <xf numFmtId="165" fontId="0" fillId="0" borderId="14" xfId="1" applyNumberFormat="1" applyFont="1" applyBorder="1" applyProtection="1"/>
    <xf numFmtId="165" fontId="0" fillId="0" borderId="0" xfId="1" applyNumberFormat="1" applyFont="1" applyBorder="1" applyProtection="1"/>
    <xf numFmtId="0" fontId="0" fillId="0" borderId="9" xfId="0" applyBorder="1"/>
    <xf numFmtId="165" fontId="0" fillId="0" borderId="9" xfId="1" applyNumberFormat="1" applyFont="1" applyBorder="1" applyProtection="1"/>
    <xf numFmtId="10" fontId="0" fillId="0" borderId="0" xfId="2" applyNumberFormat="1" applyFont="1" applyProtection="1"/>
    <xf numFmtId="165" fontId="5"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0" fillId="0" borderId="0" xfId="1" applyNumberFormat="1" applyFont="1" applyFill="1" applyAlignment="1" applyProtection="1">
      <alignment horizontal="center"/>
    </xf>
    <xf numFmtId="0" fontId="0" fillId="3" borderId="11" xfId="1" applyNumberFormat="1" applyFont="1" applyFill="1" applyBorder="1" applyAlignment="1">
      <alignment horizontal="center"/>
    </xf>
    <xf numFmtId="0" fontId="0" fillId="3" borderId="0" xfId="1" applyNumberFormat="1" applyFont="1" applyFill="1" applyBorder="1" applyAlignment="1">
      <alignment horizontal="center"/>
    </xf>
    <xf numFmtId="0" fontId="0" fillId="3" borderId="12" xfId="1" applyNumberFormat="1" applyFont="1" applyFill="1" applyBorder="1" applyAlignment="1">
      <alignment horizontal="center"/>
    </xf>
    <xf numFmtId="165" fontId="0" fillId="3" borderId="11" xfId="1" applyNumberFormat="1" applyFont="1" applyFill="1" applyBorder="1"/>
    <xf numFmtId="165" fontId="0" fillId="3" borderId="0" xfId="1" applyNumberFormat="1" applyFont="1" applyFill="1" applyBorder="1"/>
    <xf numFmtId="165" fontId="0" fillId="3" borderId="12" xfId="1" applyNumberFormat="1" applyFont="1" applyFill="1" applyBorder="1"/>
    <xf numFmtId="165" fontId="0" fillId="3" borderId="13" xfId="1" applyNumberFormat="1" applyFont="1" applyFill="1" applyBorder="1"/>
    <xf numFmtId="165" fontId="0" fillId="3" borderId="14" xfId="1" applyNumberFormat="1" applyFont="1" applyFill="1" applyBorder="1"/>
    <xf numFmtId="165" fontId="0" fillId="3" borderId="15" xfId="1" applyNumberFormat="1" applyFont="1" applyFill="1" applyBorder="1"/>
    <xf numFmtId="0" fontId="0" fillId="0" borderId="0" xfId="1" applyNumberFormat="1" applyFont="1" applyAlignment="1">
      <alignment horizontal="right"/>
    </xf>
    <xf numFmtId="9" fontId="0" fillId="0" borderId="0" xfId="2" applyFont="1" applyProtection="1"/>
    <xf numFmtId="0" fontId="0" fillId="0" borderId="14" xfId="0" applyBorder="1" applyAlignment="1">
      <alignment horizontal="left"/>
    </xf>
    <xf numFmtId="0" fontId="0" fillId="0" borderId="14" xfId="1" applyNumberFormat="1" applyFont="1" applyBorder="1" applyAlignment="1">
      <alignment horizontal="left"/>
    </xf>
    <xf numFmtId="9" fontId="0" fillId="0" borderId="14" xfId="2" applyFont="1" applyBorder="1" applyProtection="1"/>
    <xf numFmtId="166" fontId="0" fillId="3" borderId="11" xfId="2" applyNumberFormat="1" applyFont="1" applyFill="1" applyBorder="1"/>
    <xf numFmtId="166" fontId="0" fillId="3" borderId="0" xfId="2" applyNumberFormat="1" applyFont="1" applyFill="1" applyBorder="1"/>
    <xf numFmtId="166" fontId="0" fillId="3" borderId="12" xfId="2" applyNumberFormat="1" applyFont="1" applyFill="1" applyBorder="1"/>
    <xf numFmtId="166" fontId="0" fillId="3" borderId="13" xfId="2" applyNumberFormat="1" applyFont="1" applyFill="1" applyBorder="1"/>
    <xf numFmtId="166" fontId="0" fillId="3" borderId="14" xfId="2" applyNumberFormat="1" applyFont="1" applyFill="1" applyBorder="1"/>
    <xf numFmtId="166" fontId="0" fillId="3" borderId="15" xfId="2" applyNumberFormat="1" applyFont="1" applyFill="1" applyBorder="1"/>
    <xf numFmtId="0" fontId="12" fillId="0" borderId="0" xfId="0" applyFont="1"/>
    <xf numFmtId="0" fontId="12" fillId="0" borderId="0" xfId="0" quotePrefix="1" applyFont="1"/>
    <xf numFmtId="166" fontId="0" fillId="0" borderId="0" xfId="2" applyNumberFormat="1" applyFont="1"/>
    <xf numFmtId="0" fontId="0" fillId="3" borderId="0" xfId="0" applyFill="1"/>
    <xf numFmtId="165" fontId="0" fillId="0" borderId="0" xfId="1" applyNumberFormat="1" applyFont="1" applyAlignment="1">
      <alignment horizontal="left"/>
    </xf>
    <xf numFmtId="0" fontId="0" fillId="2" borderId="0" xfId="2" applyNumberFormat="1" applyFont="1" applyFill="1" applyAlignment="1" applyProtection="1">
      <alignment horizontal="right"/>
      <protection locked="0"/>
    </xf>
    <xf numFmtId="9" fontId="0" fillId="2" borderId="0" xfId="2" applyFont="1" applyFill="1" applyAlignment="1" applyProtection="1">
      <alignment horizontal="right"/>
      <protection locked="0"/>
    </xf>
    <xf numFmtId="167" fontId="0" fillId="0" borderId="0" xfId="1" applyNumberFormat="1" applyFont="1"/>
    <xf numFmtId="9" fontId="0" fillId="0" borderId="0" xfId="2" applyFont="1"/>
    <xf numFmtId="165" fontId="0" fillId="0" borderId="0" xfId="1" applyNumberFormat="1" applyFont="1" applyAlignment="1">
      <alignment horizontal="center" wrapText="1"/>
    </xf>
    <xf numFmtId="0" fontId="0" fillId="0" borderId="0" xfId="0" applyAlignment="1">
      <alignment horizontal="center" wrapText="1"/>
    </xf>
    <xf numFmtId="9" fontId="0" fillId="0" borderId="0" xfId="2" applyFont="1" applyAlignment="1" applyProtection="1">
      <alignment horizontal="center" wrapText="1"/>
    </xf>
    <xf numFmtId="165" fontId="0" fillId="0" borderId="0" xfId="1" applyNumberFormat="1" applyFont="1" applyAlignment="1" applyProtection="1">
      <alignment horizontal="center" wrapText="1"/>
    </xf>
    <xf numFmtId="165" fontId="0" fillId="0" borderId="0" xfId="0" applyNumberFormat="1" applyAlignment="1">
      <alignment horizontal="center" wrapText="1"/>
    </xf>
    <xf numFmtId="165" fontId="0" fillId="0" borderId="0" xfId="1" quotePrefix="1" applyNumberFormat="1" applyFont="1"/>
    <xf numFmtId="165" fontId="0" fillId="0" borderId="0" xfId="1" applyNumberFormat="1" applyFont="1" applyBorder="1" applyAlignment="1" applyProtection="1">
      <alignment horizontal="center" wrapText="1"/>
    </xf>
    <xf numFmtId="0" fontId="5" fillId="0" borderId="0" xfId="0" applyFont="1" applyAlignment="1">
      <alignment horizontal="center" wrapText="1"/>
    </xf>
    <xf numFmtId="165" fontId="0" fillId="0" borderId="0" xfId="1" applyNumberFormat="1" applyFont="1" applyFill="1" applyBorder="1" applyProtection="1"/>
    <xf numFmtId="165" fontId="0" fillId="2" borderId="0" xfId="1" applyNumberFormat="1" applyFont="1" applyFill="1" applyAlignment="1" applyProtection="1">
      <alignment horizontal="right"/>
      <protection locked="0"/>
    </xf>
    <xf numFmtId="165" fontId="0" fillId="2" borderId="0" xfId="0" applyNumberFormat="1" applyFill="1" applyAlignment="1" applyProtection="1">
      <alignment horizontal="right"/>
      <protection locked="0"/>
    </xf>
    <xf numFmtId="0" fontId="0" fillId="2" borderId="0" xfId="0" applyFill="1" applyAlignment="1" applyProtection="1">
      <alignment horizontal="right"/>
      <protection locked="0"/>
    </xf>
    <xf numFmtId="166" fontId="0" fillId="2" borderId="0" xfId="2" applyNumberFormat="1" applyFont="1" applyFill="1" applyAlignment="1" applyProtection="1">
      <alignment horizontal="right"/>
      <protection locked="0"/>
    </xf>
    <xf numFmtId="165" fontId="0" fillId="0" borderId="0" xfId="1" applyNumberFormat="1" applyFont="1" applyFill="1" applyAlignment="1" applyProtection="1">
      <alignment horizontal="right"/>
    </xf>
    <xf numFmtId="165" fontId="0" fillId="0" borderId="0" xfId="0" applyNumberFormat="1" applyAlignment="1">
      <alignment horizontal="right"/>
    </xf>
    <xf numFmtId="9" fontId="0" fillId="0" borderId="0" xfId="2" applyFont="1" applyFill="1" applyAlignment="1" applyProtection="1">
      <alignment horizontal="right"/>
    </xf>
    <xf numFmtId="0" fontId="0" fillId="0" borderId="0" xfId="0" applyAlignment="1">
      <alignment horizontal="right"/>
    </xf>
    <xf numFmtId="166" fontId="0" fillId="0" borderId="0" xfId="2" applyNumberFormat="1" applyFont="1" applyFill="1" applyAlignment="1" applyProtection="1">
      <alignment horizontal="right"/>
    </xf>
    <xf numFmtId="0" fontId="12" fillId="0" borderId="0" xfId="1" applyNumberFormat="1" applyFont="1" applyFill="1" applyAlignment="1" applyProtection="1">
      <alignment horizontal="left"/>
    </xf>
    <xf numFmtId="0" fontId="12" fillId="0" borderId="0" xfId="1" quotePrefix="1" applyNumberFormat="1" applyFont="1" applyFill="1" applyAlignment="1" applyProtection="1">
      <alignment horizontal="left"/>
    </xf>
    <xf numFmtId="168" fontId="0" fillId="0" borderId="0" xfId="1" applyNumberFormat="1" applyFont="1" applyProtection="1"/>
    <xf numFmtId="0" fontId="4" fillId="2" borderId="0" xfId="1" applyNumberFormat="1" applyFont="1" applyFill="1" applyBorder="1" applyAlignment="1" applyProtection="1">
      <alignment horizontal="left"/>
      <protection locked="0"/>
    </xf>
    <xf numFmtId="0" fontId="4" fillId="2" borderId="0" xfId="0" applyFont="1" applyFill="1" applyAlignment="1" applyProtection="1">
      <alignment horizontal="left"/>
      <protection locked="0"/>
    </xf>
    <xf numFmtId="0" fontId="0" fillId="3" borderId="8" xfId="1" applyNumberFormat="1" applyFont="1" applyFill="1" applyBorder="1" applyAlignment="1">
      <alignment horizontal="center"/>
    </xf>
    <xf numFmtId="0" fontId="0" fillId="3" borderId="9" xfId="1" applyNumberFormat="1" applyFont="1" applyFill="1" applyBorder="1" applyAlignment="1">
      <alignment horizontal="center"/>
    </xf>
    <xf numFmtId="0" fontId="0" fillId="3" borderId="10" xfId="1" applyNumberFormat="1" applyFont="1"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5" fillId="0" borderId="9" xfId="0" applyFont="1" applyBorder="1" applyAlignment="1">
      <alignment horizontal="centerContinuous"/>
    </xf>
    <xf numFmtId="0" fontId="0" fillId="0" borderId="0" xfId="0" applyAlignment="1" applyProtection="1">
      <alignment horizontal="right"/>
      <protection locked="0"/>
    </xf>
    <xf numFmtId="169" fontId="0" fillId="0" borderId="0" xfId="2" applyNumberFormat="1" applyFont="1"/>
    <xf numFmtId="169" fontId="0" fillId="0" borderId="0" xfId="2" applyNumberFormat="1" applyFont="1" applyProtection="1"/>
    <xf numFmtId="0" fontId="0" fillId="4" borderId="0" xfId="0" applyFill="1"/>
    <xf numFmtId="165" fontId="0" fillId="4" borderId="0" xfId="1" applyNumberFormat="1" applyFont="1" applyFill="1" applyProtection="1"/>
    <xf numFmtId="0" fontId="0" fillId="2" borderId="0" xfId="0" applyFill="1"/>
    <xf numFmtId="0" fontId="11" fillId="0" borderId="16" xfId="0" applyFont="1" applyBorder="1"/>
    <xf numFmtId="0" fontId="0" fillId="0" borderId="16" xfId="0" applyBorder="1"/>
  </cellXfs>
  <cellStyles count="40">
    <cellStyle name="Comma" xfId="1" builtinId="3"/>
    <cellStyle name="Comma 2" xfId="35" xr:uid="{C0D8858A-91D1-4CBB-A687-47437B8A2060}"/>
    <cellStyle name="Comma 2 2" xfId="38" xr:uid="{0DDE4BE7-3CA5-4431-A9D5-707CEF9D69B7}"/>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Hyperlink" xfId="3" builtinId="8"/>
    <cellStyle name="Normal" xfId="0" builtinId="0"/>
    <cellStyle name="Normal 2" xfId="34" xr:uid="{58649D65-A442-4546-AE74-8BAC3165E628}"/>
    <cellStyle name="Normal 2 2" xfId="37" xr:uid="{020EDF53-D476-43C8-9270-E1EB1FA6AF39}"/>
    <cellStyle name="Percent" xfId="2" builtinId="5"/>
    <cellStyle name="Percent 2" xfId="36" xr:uid="{6EA3B7F8-902C-4D83-BF2B-2D5287ABA703}"/>
    <cellStyle name="Percent 2 2" xfId="39" xr:uid="{FD352B67-59B8-4577-A394-11C1BFEB26B3}"/>
  </cellStyles>
  <dxfs count="4">
    <dxf>
      <font>
        <strike/>
        <color rgb="FFFF0000"/>
      </font>
    </dxf>
    <dxf>
      <font>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v>Marginal Tax Rate</c:v>
          </c:tx>
          <c:marker>
            <c:symbol val="none"/>
          </c:marker>
          <c:cat>
            <c:numRef>
              <c:f>Calc!$A$19:$A$218</c:f>
              <c:numCache>
                <c:formatCode>_(* #,##0_);_(* \(#,##0\);_(* "-"??_);_(@_)</c:formatCode>
                <c:ptCount val="200"/>
                <c:pt idx="0">
                  <c:v>0</c:v>
                </c:pt>
                <c:pt idx="1">
                  <c:v>500</c:v>
                </c:pt>
                <c:pt idx="2">
                  <c:v>1000</c:v>
                </c:pt>
                <c:pt idx="3">
                  <c:v>1500</c:v>
                </c:pt>
                <c:pt idx="4">
                  <c:v>2000</c:v>
                </c:pt>
                <c:pt idx="5">
                  <c:v>2500</c:v>
                </c:pt>
                <c:pt idx="6">
                  <c:v>3000</c:v>
                </c:pt>
                <c:pt idx="7">
                  <c:v>3500</c:v>
                </c:pt>
                <c:pt idx="8">
                  <c:v>4000</c:v>
                </c:pt>
                <c:pt idx="9">
                  <c:v>4500</c:v>
                </c:pt>
                <c:pt idx="10">
                  <c:v>5000</c:v>
                </c:pt>
                <c:pt idx="11">
                  <c:v>5500</c:v>
                </c:pt>
                <c:pt idx="12">
                  <c:v>6000</c:v>
                </c:pt>
                <c:pt idx="13">
                  <c:v>6500</c:v>
                </c:pt>
                <c:pt idx="14">
                  <c:v>7000</c:v>
                </c:pt>
                <c:pt idx="15">
                  <c:v>7500</c:v>
                </c:pt>
                <c:pt idx="16">
                  <c:v>8000</c:v>
                </c:pt>
                <c:pt idx="17">
                  <c:v>8500</c:v>
                </c:pt>
                <c:pt idx="18">
                  <c:v>9000</c:v>
                </c:pt>
                <c:pt idx="19">
                  <c:v>9500</c:v>
                </c:pt>
                <c:pt idx="20">
                  <c:v>10000</c:v>
                </c:pt>
                <c:pt idx="21">
                  <c:v>10500</c:v>
                </c:pt>
                <c:pt idx="22">
                  <c:v>11000</c:v>
                </c:pt>
                <c:pt idx="23">
                  <c:v>11500</c:v>
                </c:pt>
                <c:pt idx="24">
                  <c:v>12000</c:v>
                </c:pt>
                <c:pt idx="25">
                  <c:v>12500</c:v>
                </c:pt>
                <c:pt idx="26">
                  <c:v>13000</c:v>
                </c:pt>
                <c:pt idx="27">
                  <c:v>13500</c:v>
                </c:pt>
                <c:pt idx="28">
                  <c:v>14000</c:v>
                </c:pt>
                <c:pt idx="29">
                  <c:v>14500</c:v>
                </c:pt>
                <c:pt idx="30">
                  <c:v>15000</c:v>
                </c:pt>
                <c:pt idx="31">
                  <c:v>15500</c:v>
                </c:pt>
                <c:pt idx="32">
                  <c:v>16000</c:v>
                </c:pt>
                <c:pt idx="33">
                  <c:v>16500</c:v>
                </c:pt>
                <c:pt idx="34">
                  <c:v>17000</c:v>
                </c:pt>
                <c:pt idx="35">
                  <c:v>17500</c:v>
                </c:pt>
                <c:pt idx="36">
                  <c:v>18000</c:v>
                </c:pt>
                <c:pt idx="37">
                  <c:v>18500</c:v>
                </c:pt>
                <c:pt idx="38">
                  <c:v>19000</c:v>
                </c:pt>
                <c:pt idx="39">
                  <c:v>19500</c:v>
                </c:pt>
                <c:pt idx="40">
                  <c:v>20000</c:v>
                </c:pt>
                <c:pt idx="41">
                  <c:v>20500</c:v>
                </c:pt>
                <c:pt idx="42">
                  <c:v>21000</c:v>
                </c:pt>
                <c:pt idx="43">
                  <c:v>21500</c:v>
                </c:pt>
                <c:pt idx="44">
                  <c:v>22000</c:v>
                </c:pt>
                <c:pt idx="45">
                  <c:v>22500</c:v>
                </c:pt>
                <c:pt idx="46">
                  <c:v>23000</c:v>
                </c:pt>
                <c:pt idx="47">
                  <c:v>23500</c:v>
                </c:pt>
                <c:pt idx="48">
                  <c:v>24000</c:v>
                </c:pt>
                <c:pt idx="49">
                  <c:v>24500</c:v>
                </c:pt>
                <c:pt idx="50">
                  <c:v>25000</c:v>
                </c:pt>
                <c:pt idx="51">
                  <c:v>25500</c:v>
                </c:pt>
                <c:pt idx="52">
                  <c:v>26000</c:v>
                </c:pt>
                <c:pt idx="53">
                  <c:v>26500</c:v>
                </c:pt>
                <c:pt idx="54">
                  <c:v>27000</c:v>
                </c:pt>
                <c:pt idx="55">
                  <c:v>27500</c:v>
                </c:pt>
                <c:pt idx="56">
                  <c:v>28000</c:v>
                </c:pt>
                <c:pt idx="57">
                  <c:v>28500</c:v>
                </c:pt>
                <c:pt idx="58">
                  <c:v>29000</c:v>
                </c:pt>
                <c:pt idx="59">
                  <c:v>29500</c:v>
                </c:pt>
                <c:pt idx="60">
                  <c:v>30000</c:v>
                </c:pt>
                <c:pt idx="61">
                  <c:v>30500</c:v>
                </c:pt>
                <c:pt idx="62">
                  <c:v>31000</c:v>
                </c:pt>
                <c:pt idx="63">
                  <c:v>31500</c:v>
                </c:pt>
                <c:pt idx="64">
                  <c:v>32000</c:v>
                </c:pt>
                <c:pt idx="65">
                  <c:v>32500</c:v>
                </c:pt>
                <c:pt idx="66">
                  <c:v>33000</c:v>
                </c:pt>
                <c:pt idx="67">
                  <c:v>33500</c:v>
                </c:pt>
                <c:pt idx="68">
                  <c:v>34000</c:v>
                </c:pt>
                <c:pt idx="69">
                  <c:v>34500</c:v>
                </c:pt>
                <c:pt idx="70">
                  <c:v>35000</c:v>
                </c:pt>
                <c:pt idx="71">
                  <c:v>35500</c:v>
                </c:pt>
                <c:pt idx="72">
                  <c:v>36000</c:v>
                </c:pt>
                <c:pt idx="73">
                  <c:v>36500</c:v>
                </c:pt>
                <c:pt idx="74">
                  <c:v>37000</c:v>
                </c:pt>
                <c:pt idx="75">
                  <c:v>37500</c:v>
                </c:pt>
                <c:pt idx="76">
                  <c:v>38000</c:v>
                </c:pt>
                <c:pt idx="77">
                  <c:v>38500</c:v>
                </c:pt>
                <c:pt idx="78">
                  <c:v>39000</c:v>
                </c:pt>
                <c:pt idx="79">
                  <c:v>39500</c:v>
                </c:pt>
                <c:pt idx="80">
                  <c:v>40000</c:v>
                </c:pt>
                <c:pt idx="81">
                  <c:v>40500</c:v>
                </c:pt>
                <c:pt idx="82">
                  <c:v>41000</c:v>
                </c:pt>
                <c:pt idx="83">
                  <c:v>41500</c:v>
                </c:pt>
                <c:pt idx="84">
                  <c:v>42000</c:v>
                </c:pt>
                <c:pt idx="85">
                  <c:v>42500</c:v>
                </c:pt>
                <c:pt idx="86">
                  <c:v>43000</c:v>
                </c:pt>
                <c:pt idx="87">
                  <c:v>43500</c:v>
                </c:pt>
                <c:pt idx="88">
                  <c:v>44000</c:v>
                </c:pt>
                <c:pt idx="89">
                  <c:v>44500</c:v>
                </c:pt>
                <c:pt idx="90">
                  <c:v>45000</c:v>
                </c:pt>
                <c:pt idx="91">
                  <c:v>45500</c:v>
                </c:pt>
                <c:pt idx="92">
                  <c:v>46000</c:v>
                </c:pt>
                <c:pt idx="93">
                  <c:v>46500</c:v>
                </c:pt>
                <c:pt idx="94">
                  <c:v>47000</c:v>
                </c:pt>
                <c:pt idx="95">
                  <c:v>47500</c:v>
                </c:pt>
                <c:pt idx="96">
                  <c:v>48000</c:v>
                </c:pt>
                <c:pt idx="97">
                  <c:v>48500</c:v>
                </c:pt>
                <c:pt idx="98">
                  <c:v>49000</c:v>
                </c:pt>
                <c:pt idx="99">
                  <c:v>49500</c:v>
                </c:pt>
                <c:pt idx="100">
                  <c:v>50000</c:v>
                </c:pt>
                <c:pt idx="101">
                  <c:v>50500</c:v>
                </c:pt>
                <c:pt idx="102">
                  <c:v>51000</c:v>
                </c:pt>
                <c:pt idx="103">
                  <c:v>51500</c:v>
                </c:pt>
                <c:pt idx="104">
                  <c:v>52000</c:v>
                </c:pt>
                <c:pt idx="105">
                  <c:v>52500</c:v>
                </c:pt>
                <c:pt idx="106">
                  <c:v>53000</c:v>
                </c:pt>
                <c:pt idx="107">
                  <c:v>53500</c:v>
                </c:pt>
                <c:pt idx="108">
                  <c:v>54000</c:v>
                </c:pt>
                <c:pt idx="109">
                  <c:v>54500</c:v>
                </c:pt>
                <c:pt idx="110">
                  <c:v>55000</c:v>
                </c:pt>
                <c:pt idx="111">
                  <c:v>55500</c:v>
                </c:pt>
                <c:pt idx="112">
                  <c:v>56000</c:v>
                </c:pt>
                <c:pt idx="113">
                  <c:v>56500</c:v>
                </c:pt>
                <c:pt idx="114">
                  <c:v>57000</c:v>
                </c:pt>
                <c:pt idx="115">
                  <c:v>57500</c:v>
                </c:pt>
                <c:pt idx="116">
                  <c:v>58000</c:v>
                </c:pt>
                <c:pt idx="117">
                  <c:v>58500</c:v>
                </c:pt>
                <c:pt idx="118">
                  <c:v>59000</c:v>
                </c:pt>
                <c:pt idx="119">
                  <c:v>59500</c:v>
                </c:pt>
                <c:pt idx="120">
                  <c:v>60000</c:v>
                </c:pt>
                <c:pt idx="121">
                  <c:v>60500</c:v>
                </c:pt>
                <c:pt idx="122">
                  <c:v>61000</c:v>
                </c:pt>
                <c:pt idx="123">
                  <c:v>61500</c:v>
                </c:pt>
                <c:pt idx="124">
                  <c:v>62000</c:v>
                </c:pt>
                <c:pt idx="125">
                  <c:v>62500</c:v>
                </c:pt>
                <c:pt idx="126">
                  <c:v>63000</c:v>
                </c:pt>
                <c:pt idx="127">
                  <c:v>63500</c:v>
                </c:pt>
                <c:pt idx="128">
                  <c:v>64000</c:v>
                </c:pt>
                <c:pt idx="129">
                  <c:v>64500</c:v>
                </c:pt>
                <c:pt idx="130">
                  <c:v>65000</c:v>
                </c:pt>
                <c:pt idx="131">
                  <c:v>65500</c:v>
                </c:pt>
                <c:pt idx="132">
                  <c:v>66000</c:v>
                </c:pt>
                <c:pt idx="133">
                  <c:v>66500</c:v>
                </c:pt>
                <c:pt idx="134">
                  <c:v>67000</c:v>
                </c:pt>
                <c:pt idx="135">
                  <c:v>67500</c:v>
                </c:pt>
                <c:pt idx="136">
                  <c:v>68000</c:v>
                </c:pt>
                <c:pt idx="137">
                  <c:v>68500</c:v>
                </c:pt>
                <c:pt idx="138">
                  <c:v>69000</c:v>
                </c:pt>
                <c:pt idx="139">
                  <c:v>69500</c:v>
                </c:pt>
                <c:pt idx="140">
                  <c:v>70000</c:v>
                </c:pt>
                <c:pt idx="141">
                  <c:v>70500</c:v>
                </c:pt>
                <c:pt idx="142">
                  <c:v>71000</c:v>
                </c:pt>
                <c:pt idx="143">
                  <c:v>71500</c:v>
                </c:pt>
                <c:pt idx="144">
                  <c:v>72000</c:v>
                </c:pt>
                <c:pt idx="145">
                  <c:v>72500</c:v>
                </c:pt>
                <c:pt idx="146">
                  <c:v>73000</c:v>
                </c:pt>
                <c:pt idx="147">
                  <c:v>73500</c:v>
                </c:pt>
                <c:pt idx="148">
                  <c:v>74000</c:v>
                </c:pt>
                <c:pt idx="149">
                  <c:v>74500</c:v>
                </c:pt>
                <c:pt idx="150">
                  <c:v>75000</c:v>
                </c:pt>
                <c:pt idx="151">
                  <c:v>75500</c:v>
                </c:pt>
                <c:pt idx="152">
                  <c:v>76000</c:v>
                </c:pt>
                <c:pt idx="153">
                  <c:v>76500</c:v>
                </c:pt>
                <c:pt idx="154">
                  <c:v>77000</c:v>
                </c:pt>
                <c:pt idx="155">
                  <c:v>77500</c:v>
                </c:pt>
                <c:pt idx="156">
                  <c:v>78000</c:v>
                </c:pt>
                <c:pt idx="157">
                  <c:v>78500</c:v>
                </c:pt>
                <c:pt idx="158">
                  <c:v>79000</c:v>
                </c:pt>
                <c:pt idx="159">
                  <c:v>79500</c:v>
                </c:pt>
                <c:pt idx="160">
                  <c:v>80000</c:v>
                </c:pt>
                <c:pt idx="161">
                  <c:v>80500</c:v>
                </c:pt>
                <c:pt idx="162">
                  <c:v>81000</c:v>
                </c:pt>
                <c:pt idx="163">
                  <c:v>81500</c:v>
                </c:pt>
                <c:pt idx="164">
                  <c:v>82000</c:v>
                </c:pt>
                <c:pt idx="165">
                  <c:v>82500</c:v>
                </c:pt>
                <c:pt idx="166">
                  <c:v>83000</c:v>
                </c:pt>
                <c:pt idx="167">
                  <c:v>83500</c:v>
                </c:pt>
                <c:pt idx="168">
                  <c:v>84000</c:v>
                </c:pt>
                <c:pt idx="169">
                  <c:v>84500</c:v>
                </c:pt>
                <c:pt idx="170">
                  <c:v>85000</c:v>
                </c:pt>
                <c:pt idx="171">
                  <c:v>85500</c:v>
                </c:pt>
                <c:pt idx="172">
                  <c:v>86000</c:v>
                </c:pt>
                <c:pt idx="173">
                  <c:v>86500</c:v>
                </c:pt>
                <c:pt idx="174">
                  <c:v>87000</c:v>
                </c:pt>
                <c:pt idx="175">
                  <c:v>87500</c:v>
                </c:pt>
                <c:pt idx="176">
                  <c:v>88000</c:v>
                </c:pt>
                <c:pt idx="177">
                  <c:v>88500</c:v>
                </c:pt>
                <c:pt idx="178">
                  <c:v>89000</c:v>
                </c:pt>
                <c:pt idx="179">
                  <c:v>89500</c:v>
                </c:pt>
                <c:pt idx="180">
                  <c:v>90000</c:v>
                </c:pt>
                <c:pt idx="181">
                  <c:v>90500</c:v>
                </c:pt>
                <c:pt idx="182">
                  <c:v>91000</c:v>
                </c:pt>
                <c:pt idx="183">
                  <c:v>91500</c:v>
                </c:pt>
                <c:pt idx="184">
                  <c:v>92000</c:v>
                </c:pt>
                <c:pt idx="185">
                  <c:v>92500</c:v>
                </c:pt>
                <c:pt idx="186">
                  <c:v>93000</c:v>
                </c:pt>
                <c:pt idx="187">
                  <c:v>93500</c:v>
                </c:pt>
                <c:pt idx="188">
                  <c:v>94000</c:v>
                </c:pt>
                <c:pt idx="189">
                  <c:v>94500</c:v>
                </c:pt>
                <c:pt idx="190">
                  <c:v>95000</c:v>
                </c:pt>
                <c:pt idx="191">
                  <c:v>95500</c:v>
                </c:pt>
                <c:pt idx="192">
                  <c:v>96000</c:v>
                </c:pt>
                <c:pt idx="193">
                  <c:v>96500</c:v>
                </c:pt>
                <c:pt idx="194">
                  <c:v>97000</c:v>
                </c:pt>
                <c:pt idx="195">
                  <c:v>97500</c:v>
                </c:pt>
                <c:pt idx="196">
                  <c:v>98000</c:v>
                </c:pt>
                <c:pt idx="197">
                  <c:v>98500</c:v>
                </c:pt>
                <c:pt idx="198">
                  <c:v>99000</c:v>
                </c:pt>
                <c:pt idx="199">
                  <c:v>99500</c:v>
                </c:pt>
              </c:numCache>
            </c:numRef>
          </c:cat>
          <c:val>
            <c:numRef>
              <c:f>Calc!$AD$19:$AD$218</c:f>
              <c:numCache>
                <c:formatCode>0.00%</c:formatCode>
                <c:ptCount val="2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0.01</c:v>
                </c:pt>
                <c:pt idx="36">
                  <c:v>0.185</c:v>
                </c:pt>
                <c:pt idx="37">
                  <c:v>0.185</c:v>
                </c:pt>
                <c:pt idx="38">
                  <c:v>0.185</c:v>
                </c:pt>
                <c:pt idx="39">
                  <c:v>0.185</c:v>
                </c:pt>
                <c:pt idx="40">
                  <c:v>0.185</c:v>
                </c:pt>
                <c:pt idx="41">
                  <c:v>0.185</c:v>
                </c:pt>
                <c:pt idx="42">
                  <c:v>0.185</c:v>
                </c:pt>
                <c:pt idx="43">
                  <c:v>0.185</c:v>
                </c:pt>
                <c:pt idx="44">
                  <c:v>0.185</c:v>
                </c:pt>
                <c:pt idx="45">
                  <c:v>0.185</c:v>
                </c:pt>
                <c:pt idx="46">
                  <c:v>0.185</c:v>
                </c:pt>
                <c:pt idx="47">
                  <c:v>0.185</c:v>
                </c:pt>
                <c:pt idx="48">
                  <c:v>0.185</c:v>
                </c:pt>
                <c:pt idx="49">
                  <c:v>0.20899999999999999</c:v>
                </c:pt>
                <c:pt idx="50">
                  <c:v>0.222</c:v>
                </c:pt>
                <c:pt idx="51">
                  <c:v>0.222</c:v>
                </c:pt>
                <c:pt idx="52">
                  <c:v>0.222</c:v>
                </c:pt>
                <c:pt idx="53">
                  <c:v>0.222</c:v>
                </c:pt>
                <c:pt idx="54">
                  <c:v>0.222</c:v>
                </c:pt>
                <c:pt idx="55">
                  <c:v>0.222</c:v>
                </c:pt>
                <c:pt idx="56">
                  <c:v>0.222</c:v>
                </c:pt>
                <c:pt idx="57">
                  <c:v>0.222</c:v>
                </c:pt>
                <c:pt idx="58">
                  <c:v>0.222</c:v>
                </c:pt>
                <c:pt idx="59">
                  <c:v>0.222</c:v>
                </c:pt>
                <c:pt idx="60">
                  <c:v>0.222</c:v>
                </c:pt>
                <c:pt idx="61">
                  <c:v>0.222</c:v>
                </c:pt>
                <c:pt idx="62">
                  <c:v>0.222</c:v>
                </c:pt>
                <c:pt idx="63">
                  <c:v>0.222</c:v>
                </c:pt>
                <c:pt idx="64">
                  <c:v>0.222</c:v>
                </c:pt>
                <c:pt idx="65">
                  <c:v>0.222</c:v>
                </c:pt>
                <c:pt idx="66">
                  <c:v>0.222</c:v>
                </c:pt>
                <c:pt idx="67">
                  <c:v>0.222</c:v>
                </c:pt>
                <c:pt idx="68">
                  <c:v>0.222</c:v>
                </c:pt>
                <c:pt idx="69">
                  <c:v>0.222</c:v>
                </c:pt>
                <c:pt idx="70">
                  <c:v>0.222</c:v>
                </c:pt>
                <c:pt idx="71">
                  <c:v>0.222</c:v>
                </c:pt>
                <c:pt idx="72">
                  <c:v>0.222</c:v>
                </c:pt>
                <c:pt idx="73">
                  <c:v>0.222</c:v>
                </c:pt>
                <c:pt idx="74">
                  <c:v>0.222</c:v>
                </c:pt>
                <c:pt idx="75">
                  <c:v>0.222</c:v>
                </c:pt>
                <c:pt idx="76">
                  <c:v>0.222</c:v>
                </c:pt>
                <c:pt idx="77">
                  <c:v>0.222</c:v>
                </c:pt>
                <c:pt idx="78">
                  <c:v>0.222</c:v>
                </c:pt>
                <c:pt idx="79">
                  <c:v>0.222</c:v>
                </c:pt>
                <c:pt idx="80">
                  <c:v>0.222</c:v>
                </c:pt>
                <c:pt idx="81">
                  <c:v>0.222</c:v>
                </c:pt>
                <c:pt idx="82">
                  <c:v>0.222</c:v>
                </c:pt>
                <c:pt idx="83">
                  <c:v>0.222</c:v>
                </c:pt>
                <c:pt idx="84">
                  <c:v>0.222</c:v>
                </c:pt>
                <c:pt idx="85">
                  <c:v>0.222</c:v>
                </c:pt>
                <c:pt idx="86">
                  <c:v>0.222</c:v>
                </c:pt>
                <c:pt idx="87">
                  <c:v>0.222</c:v>
                </c:pt>
                <c:pt idx="88">
                  <c:v>0.222</c:v>
                </c:pt>
                <c:pt idx="89">
                  <c:v>0.222</c:v>
                </c:pt>
                <c:pt idx="90">
                  <c:v>0.32897999999999955</c:v>
                </c:pt>
                <c:pt idx="91">
                  <c:v>0.43142000000000008</c:v>
                </c:pt>
                <c:pt idx="92">
                  <c:v>0.43142000000000008</c:v>
                </c:pt>
                <c:pt idx="93">
                  <c:v>0.31481999999999971</c:v>
                </c:pt>
                <c:pt idx="94">
                  <c:v>0.23320000000000074</c:v>
                </c:pt>
                <c:pt idx="95">
                  <c:v>0.23320000000000074</c:v>
                </c:pt>
                <c:pt idx="96">
                  <c:v>0.23319999999999891</c:v>
                </c:pt>
                <c:pt idx="97">
                  <c:v>0.23320000000000074</c:v>
                </c:pt>
                <c:pt idx="98">
                  <c:v>0.23319999999999891</c:v>
                </c:pt>
                <c:pt idx="99">
                  <c:v>0.23320000000000074</c:v>
                </c:pt>
                <c:pt idx="100">
                  <c:v>0.23320000000000074</c:v>
                </c:pt>
                <c:pt idx="101">
                  <c:v>0.23319999999999891</c:v>
                </c:pt>
                <c:pt idx="102">
                  <c:v>0.23320000000000074</c:v>
                </c:pt>
                <c:pt idx="103">
                  <c:v>0.23319999999999891</c:v>
                </c:pt>
                <c:pt idx="104">
                  <c:v>0.23320000000000074</c:v>
                </c:pt>
                <c:pt idx="105">
                  <c:v>0.23320000000000074</c:v>
                </c:pt>
                <c:pt idx="106">
                  <c:v>0.23319999999999891</c:v>
                </c:pt>
                <c:pt idx="107">
                  <c:v>0.23319999999999891</c:v>
                </c:pt>
                <c:pt idx="108">
                  <c:v>0.23320000000000074</c:v>
                </c:pt>
                <c:pt idx="109">
                  <c:v>0.23320000000000074</c:v>
                </c:pt>
                <c:pt idx="110">
                  <c:v>0.23320000000000074</c:v>
                </c:pt>
                <c:pt idx="111">
                  <c:v>0.23319999999999708</c:v>
                </c:pt>
                <c:pt idx="112">
                  <c:v>0.23320000000000074</c:v>
                </c:pt>
                <c:pt idx="113">
                  <c:v>0.23320000000000074</c:v>
                </c:pt>
                <c:pt idx="114">
                  <c:v>0.23320000000000074</c:v>
                </c:pt>
                <c:pt idx="115">
                  <c:v>0.23320000000000074</c:v>
                </c:pt>
                <c:pt idx="116">
                  <c:v>0.23319999999999708</c:v>
                </c:pt>
                <c:pt idx="117">
                  <c:v>0.23320000000000074</c:v>
                </c:pt>
                <c:pt idx="118">
                  <c:v>0.23320000000000074</c:v>
                </c:pt>
                <c:pt idx="119">
                  <c:v>0.23320000000000074</c:v>
                </c:pt>
                <c:pt idx="120">
                  <c:v>0.23320000000000074</c:v>
                </c:pt>
                <c:pt idx="121">
                  <c:v>0.23319999999999708</c:v>
                </c:pt>
                <c:pt idx="122">
                  <c:v>0.23320000000000074</c:v>
                </c:pt>
                <c:pt idx="123">
                  <c:v>0.23320000000000074</c:v>
                </c:pt>
                <c:pt idx="124">
                  <c:v>0.23320000000000074</c:v>
                </c:pt>
                <c:pt idx="125">
                  <c:v>0.23320000000000074</c:v>
                </c:pt>
                <c:pt idx="126">
                  <c:v>0.23319999999999708</c:v>
                </c:pt>
                <c:pt idx="127">
                  <c:v>0.23320000000000438</c:v>
                </c:pt>
                <c:pt idx="128">
                  <c:v>0.23319999999999708</c:v>
                </c:pt>
                <c:pt idx="129">
                  <c:v>0.23320000000000074</c:v>
                </c:pt>
                <c:pt idx="130">
                  <c:v>0.23320000000000074</c:v>
                </c:pt>
                <c:pt idx="131">
                  <c:v>0.23319999999999708</c:v>
                </c:pt>
                <c:pt idx="132">
                  <c:v>0.23320000000000438</c:v>
                </c:pt>
                <c:pt idx="133">
                  <c:v>0.23319999999999708</c:v>
                </c:pt>
                <c:pt idx="134">
                  <c:v>0.23320000000000074</c:v>
                </c:pt>
                <c:pt idx="135">
                  <c:v>0.23320000000000074</c:v>
                </c:pt>
                <c:pt idx="136">
                  <c:v>0.23319999999999708</c:v>
                </c:pt>
                <c:pt idx="137">
                  <c:v>0.23320000000000438</c:v>
                </c:pt>
                <c:pt idx="138">
                  <c:v>0.23319999999999708</c:v>
                </c:pt>
                <c:pt idx="139">
                  <c:v>0.23320000000000074</c:v>
                </c:pt>
                <c:pt idx="140">
                  <c:v>0.23320000000000074</c:v>
                </c:pt>
                <c:pt idx="141">
                  <c:v>0.23319999999999708</c:v>
                </c:pt>
                <c:pt idx="142">
                  <c:v>0.23320000000000438</c:v>
                </c:pt>
                <c:pt idx="143">
                  <c:v>0.23319999999999708</c:v>
                </c:pt>
                <c:pt idx="144">
                  <c:v>0.23320000000000074</c:v>
                </c:pt>
                <c:pt idx="145">
                  <c:v>0.23320000000000074</c:v>
                </c:pt>
                <c:pt idx="146">
                  <c:v>0.23319999999999708</c:v>
                </c:pt>
                <c:pt idx="147">
                  <c:v>0.23320000000000438</c:v>
                </c:pt>
                <c:pt idx="148">
                  <c:v>0.23319999999999708</c:v>
                </c:pt>
                <c:pt idx="149">
                  <c:v>0.23320000000000074</c:v>
                </c:pt>
                <c:pt idx="150">
                  <c:v>0.23320000000000074</c:v>
                </c:pt>
                <c:pt idx="151">
                  <c:v>0.23319999999999708</c:v>
                </c:pt>
                <c:pt idx="152">
                  <c:v>0.23320000000000438</c:v>
                </c:pt>
                <c:pt idx="153">
                  <c:v>0.23319999999999708</c:v>
                </c:pt>
                <c:pt idx="154">
                  <c:v>0.23320000000000074</c:v>
                </c:pt>
                <c:pt idx="155">
                  <c:v>0.23320000000000074</c:v>
                </c:pt>
                <c:pt idx="156">
                  <c:v>0.23319999999999708</c:v>
                </c:pt>
                <c:pt idx="157">
                  <c:v>0.23320000000000438</c:v>
                </c:pt>
                <c:pt idx="158">
                  <c:v>0.23319999999999708</c:v>
                </c:pt>
                <c:pt idx="159">
                  <c:v>0.23320000000000074</c:v>
                </c:pt>
                <c:pt idx="160">
                  <c:v>0.23320000000000074</c:v>
                </c:pt>
                <c:pt idx="161">
                  <c:v>0.23320000000000074</c:v>
                </c:pt>
                <c:pt idx="162">
                  <c:v>0.23319999999999708</c:v>
                </c:pt>
                <c:pt idx="163">
                  <c:v>0.23320000000000074</c:v>
                </c:pt>
                <c:pt idx="164">
                  <c:v>0.23320000000000074</c:v>
                </c:pt>
                <c:pt idx="165">
                  <c:v>0.23320000000000074</c:v>
                </c:pt>
                <c:pt idx="166">
                  <c:v>0.23320000000000074</c:v>
                </c:pt>
                <c:pt idx="167">
                  <c:v>0.23319999999999708</c:v>
                </c:pt>
                <c:pt idx="168">
                  <c:v>0.23320000000000074</c:v>
                </c:pt>
                <c:pt idx="169">
                  <c:v>0.23320000000000074</c:v>
                </c:pt>
                <c:pt idx="170">
                  <c:v>0.23320000000000074</c:v>
                </c:pt>
                <c:pt idx="171">
                  <c:v>0.23320000000000074</c:v>
                </c:pt>
                <c:pt idx="172">
                  <c:v>0.23319999999999708</c:v>
                </c:pt>
                <c:pt idx="173">
                  <c:v>0.23320000000000074</c:v>
                </c:pt>
                <c:pt idx="174">
                  <c:v>0.23320000000000074</c:v>
                </c:pt>
                <c:pt idx="175">
                  <c:v>0.23320000000000074</c:v>
                </c:pt>
                <c:pt idx="176">
                  <c:v>0.23320000000000074</c:v>
                </c:pt>
                <c:pt idx="177">
                  <c:v>0.23319999999999708</c:v>
                </c:pt>
                <c:pt idx="178">
                  <c:v>0.23320000000000074</c:v>
                </c:pt>
                <c:pt idx="179">
                  <c:v>0.23319999999999708</c:v>
                </c:pt>
                <c:pt idx="180">
                  <c:v>0.23320000000000438</c:v>
                </c:pt>
                <c:pt idx="181">
                  <c:v>0.23320000000000438</c:v>
                </c:pt>
                <c:pt idx="182">
                  <c:v>0.23319999999999708</c:v>
                </c:pt>
                <c:pt idx="183">
                  <c:v>0.23319999999999708</c:v>
                </c:pt>
                <c:pt idx="184">
                  <c:v>0.23319999999999708</c:v>
                </c:pt>
                <c:pt idx="185">
                  <c:v>0.23320000000000438</c:v>
                </c:pt>
                <c:pt idx="186">
                  <c:v>0.23320000000000438</c:v>
                </c:pt>
                <c:pt idx="187">
                  <c:v>0.23319999999999708</c:v>
                </c:pt>
                <c:pt idx="188">
                  <c:v>0.23319999999999708</c:v>
                </c:pt>
                <c:pt idx="189">
                  <c:v>0.23319999999999708</c:v>
                </c:pt>
                <c:pt idx="190">
                  <c:v>0.23320000000000438</c:v>
                </c:pt>
                <c:pt idx="191">
                  <c:v>0.23320000000000438</c:v>
                </c:pt>
                <c:pt idx="192">
                  <c:v>0.24823999999999069</c:v>
                </c:pt>
                <c:pt idx="193">
                  <c:v>0.25440000000000873</c:v>
                </c:pt>
                <c:pt idx="194">
                  <c:v>0.25439999999999419</c:v>
                </c:pt>
                <c:pt idx="195">
                  <c:v>0.25440000000000146</c:v>
                </c:pt>
                <c:pt idx="196">
                  <c:v>0.25440000000000146</c:v>
                </c:pt>
                <c:pt idx="197">
                  <c:v>0.25439999999999419</c:v>
                </c:pt>
                <c:pt idx="198">
                  <c:v>0.25440000000000873</c:v>
                </c:pt>
                <c:pt idx="199">
                  <c:v>0.25439999999999419</c:v>
                </c:pt>
              </c:numCache>
            </c:numRef>
          </c:val>
          <c:smooth val="0"/>
          <c:extLst>
            <c:ext xmlns:c16="http://schemas.microsoft.com/office/drawing/2014/chart" uri="{C3380CC4-5D6E-409C-BE32-E72D297353CC}">
              <c16:uniqueId val="{00000000-D566-4430-A774-D470D2F56E66}"/>
            </c:ext>
          </c:extLst>
        </c:ser>
        <c:dLbls>
          <c:showLegendKey val="0"/>
          <c:showVal val="0"/>
          <c:showCatName val="0"/>
          <c:showSerName val="0"/>
          <c:showPercent val="0"/>
          <c:showBubbleSize val="0"/>
        </c:dLbls>
        <c:smooth val="0"/>
        <c:axId val="2116367144"/>
        <c:axId val="2113941496"/>
      </c:lineChart>
      <c:catAx>
        <c:axId val="2116367144"/>
        <c:scaling>
          <c:orientation val="minMax"/>
        </c:scaling>
        <c:delete val="0"/>
        <c:axPos val="b"/>
        <c:numFmt formatCode="_(* #,##0_);_(* \(#,##0\);_(* &quot;-&quot;??_);_(@_)" sourceLinked="1"/>
        <c:majorTickMark val="out"/>
        <c:minorTickMark val="none"/>
        <c:tickLblPos val="nextTo"/>
        <c:txPr>
          <a:bodyPr/>
          <a:lstStyle/>
          <a:p>
            <a:pPr>
              <a:defRPr sz="1200" baseline="0"/>
            </a:pPr>
            <a:endParaRPr lang="en-US"/>
          </a:p>
        </c:txPr>
        <c:crossAx val="2113941496"/>
        <c:crosses val="autoZero"/>
        <c:auto val="1"/>
        <c:lblAlgn val="ctr"/>
        <c:lblOffset val="100"/>
        <c:noMultiLvlLbl val="0"/>
      </c:catAx>
      <c:valAx>
        <c:axId val="2113941496"/>
        <c:scaling>
          <c:orientation val="minMax"/>
        </c:scaling>
        <c:delete val="0"/>
        <c:axPos val="l"/>
        <c:majorGridlines/>
        <c:numFmt formatCode="0.00%" sourceLinked="1"/>
        <c:majorTickMark val="out"/>
        <c:minorTickMark val="none"/>
        <c:tickLblPos val="nextTo"/>
        <c:txPr>
          <a:bodyPr/>
          <a:lstStyle/>
          <a:p>
            <a:pPr>
              <a:defRPr sz="1200" baseline="0"/>
            </a:pPr>
            <a:endParaRPr lang="en-US"/>
          </a:p>
        </c:txPr>
        <c:crossAx val="2116367144"/>
        <c:crosses val="autoZero"/>
        <c:crossBetween val="between"/>
      </c:valAx>
    </c:plotArea>
    <c:plotVisOnly val="1"/>
    <c:dispBlanksAs val="gap"/>
    <c:showDLblsOverMax val="0"/>
  </c:chart>
  <c:printSettings>
    <c:headerFooter/>
    <c:pageMargins b="0.750000000000001" l="0.70000000000000095" r="0.70000000000000095" t="0.750000000000001"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v>Marginal SS Taxable</c:v>
          </c:tx>
          <c:spPr>
            <a:ln>
              <a:solidFill>
                <a:srgbClr val="C00000"/>
              </a:solidFill>
            </a:ln>
          </c:spPr>
          <c:marker>
            <c:symbol val="none"/>
          </c:marker>
          <c:cat>
            <c:numRef>
              <c:f>Calc!$A$19:$A$218</c:f>
              <c:numCache>
                <c:formatCode>_(* #,##0_);_(* \(#,##0\);_(* "-"??_);_(@_)</c:formatCode>
                <c:ptCount val="200"/>
                <c:pt idx="0">
                  <c:v>0</c:v>
                </c:pt>
                <c:pt idx="1">
                  <c:v>500</c:v>
                </c:pt>
                <c:pt idx="2">
                  <c:v>1000</c:v>
                </c:pt>
                <c:pt idx="3">
                  <c:v>1500</c:v>
                </c:pt>
                <c:pt idx="4">
                  <c:v>2000</c:v>
                </c:pt>
                <c:pt idx="5">
                  <c:v>2500</c:v>
                </c:pt>
                <c:pt idx="6">
                  <c:v>3000</c:v>
                </c:pt>
                <c:pt idx="7">
                  <c:v>3500</c:v>
                </c:pt>
                <c:pt idx="8">
                  <c:v>4000</c:v>
                </c:pt>
                <c:pt idx="9">
                  <c:v>4500</c:v>
                </c:pt>
                <c:pt idx="10">
                  <c:v>5000</c:v>
                </c:pt>
                <c:pt idx="11">
                  <c:v>5500</c:v>
                </c:pt>
                <c:pt idx="12">
                  <c:v>6000</c:v>
                </c:pt>
                <c:pt idx="13">
                  <c:v>6500</c:v>
                </c:pt>
                <c:pt idx="14">
                  <c:v>7000</c:v>
                </c:pt>
                <c:pt idx="15">
                  <c:v>7500</c:v>
                </c:pt>
                <c:pt idx="16">
                  <c:v>8000</c:v>
                </c:pt>
                <c:pt idx="17">
                  <c:v>8500</c:v>
                </c:pt>
                <c:pt idx="18">
                  <c:v>9000</c:v>
                </c:pt>
                <c:pt idx="19">
                  <c:v>9500</c:v>
                </c:pt>
                <c:pt idx="20">
                  <c:v>10000</c:v>
                </c:pt>
                <c:pt idx="21">
                  <c:v>10500</c:v>
                </c:pt>
                <c:pt idx="22">
                  <c:v>11000</c:v>
                </c:pt>
                <c:pt idx="23">
                  <c:v>11500</c:v>
                </c:pt>
                <c:pt idx="24">
                  <c:v>12000</c:v>
                </c:pt>
                <c:pt idx="25">
                  <c:v>12500</c:v>
                </c:pt>
                <c:pt idx="26">
                  <c:v>13000</c:v>
                </c:pt>
                <c:pt idx="27">
                  <c:v>13500</c:v>
                </c:pt>
                <c:pt idx="28">
                  <c:v>14000</c:v>
                </c:pt>
                <c:pt idx="29">
                  <c:v>14500</c:v>
                </c:pt>
                <c:pt idx="30">
                  <c:v>15000</c:v>
                </c:pt>
                <c:pt idx="31">
                  <c:v>15500</c:v>
                </c:pt>
                <c:pt idx="32">
                  <c:v>16000</c:v>
                </c:pt>
                <c:pt idx="33">
                  <c:v>16500</c:v>
                </c:pt>
                <c:pt idx="34">
                  <c:v>17000</c:v>
                </c:pt>
                <c:pt idx="35">
                  <c:v>17500</c:v>
                </c:pt>
                <c:pt idx="36">
                  <c:v>18000</c:v>
                </c:pt>
                <c:pt idx="37">
                  <c:v>18500</c:v>
                </c:pt>
                <c:pt idx="38">
                  <c:v>19000</c:v>
                </c:pt>
                <c:pt idx="39">
                  <c:v>19500</c:v>
                </c:pt>
                <c:pt idx="40">
                  <c:v>20000</c:v>
                </c:pt>
                <c:pt idx="41">
                  <c:v>20500</c:v>
                </c:pt>
                <c:pt idx="42">
                  <c:v>21000</c:v>
                </c:pt>
                <c:pt idx="43">
                  <c:v>21500</c:v>
                </c:pt>
                <c:pt idx="44">
                  <c:v>22000</c:v>
                </c:pt>
                <c:pt idx="45">
                  <c:v>22500</c:v>
                </c:pt>
                <c:pt idx="46">
                  <c:v>23000</c:v>
                </c:pt>
                <c:pt idx="47">
                  <c:v>23500</c:v>
                </c:pt>
                <c:pt idx="48">
                  <c:v>24000</c:v>
                </c:pt>
                <c:pt idx="49">
                  <c:v>24500</c:v>
                </c:pt>
                <c:pt idx="50">
                  <c:v>25000</c:v>
                </c:pt>
                <c:pt idx="51">
                  <c:v>25500</c:v>
                </c:pt>
                <c:pt idx="52">
                  <c:v>26000</c:v>
                </c:pt>
                <c:pt idx="53">
                  <c:v>26500</c:v>
                </c:pt>
                <c:pt idx="54">
                  <c:v>27000</c:v>
                </c:pt>
                <c:pt idx="55">
                  <c:v>27500</c:v>
                </c:pt>
                <c:pt idx="56">
                  <c:v>28000</c:v>
                </c:pt>
                <c:pt idx="57">
                  <c:v>28500</c:v>
                </c:pt>
                <c:pt idx="58">
                  <c:v>29000</c:v>
                </c:pt>
                <c:pt idx="59">
                  <c:v>29500</c:v>
                </c:pt>
                <c:pt idx="60">
                  <c:v>30000</c:v>
                </c:pt>
                <c:pt idx="61">
                  <c:v>30500</c:v>
                </c:pt>
                <c:pt idx="62">
                  <c:v>31000</c:v>
                </c:pt>
                <c:pt idx="63">
                  <c:v>31500</c:v>
                </c:pt>
                <c:pt idx="64">
                  <c:v>32000</c:v>
                </c:pt>
                <c:pt idx="65">
                  <c:v>32500</c:v>
                </c:pt>
                <c:pt idx="66">
                  <c:v>33000</c:v>
                </c:pt>
                <c:pt idx="67">
                  <c:v>33500</c:v>
                </c:pt>
                <c:pt idx="68">
                  <c:v>34000</c:v>
                </c:pt>
                <c:pt idx="69">
                  <c:v>34500</c:v>
                </c:pt>
                <c:pt idx="70">
                  <c:v>35000</c:v>
                </c:pt>
                <c:pt idx="71">
                  <c:v>35500</c:v>
                </c:pt>
                <c:pt idx="72">
                  <c:v>36000</c:v>
                </c:pt>
                <c:pt idx="73">
                  <c:v>36500</c:v>
                </c:pt>
                <c:pt idx="74">
                  <c:v>37000</c:v>
                </c:pt>
                <c:pt idx="75">
                  <c:v>37500</c:v>
                </c:pt>
                <c:pt idx="76">
                  <c:v>38000</c:v>
                </c:pt>
                <c:pt idx="77">
                  <c:v>38500</c:v>
                </c:pt>
                <c:pt idx="78">
                  <c:v>39000</c:v>
                </c:pt>
                <c:pt idx="79">
                  <c:v>39500</c:v>
                </c:pt>
                <c:pt idx="80">
                  <c:v>40000</c:v>
                </c:pt>
                <c:pt idx="81">
                  <c:v>40500</c:v>
                </c:pt>
                <c:pt idx="82">
                  <c:v>41000</c:v>
                </c:pt>
                <c:pt idx="83">
                  <c:v>41500</c:v>
                </c:pt>
                <c:pt idx="84">
                  <c:v>42000</c:v>
                </c:pt>
                <c:pt idx="85">
                  <c:v>42500</c:v>
                </c:pt>
                <c:pt idx="86">
                  <c:v>43000</c:v>
                </c:pt>
                <c:pt idx="87">
                  <c:v>43500</c:v>
                </c:pt>
                <c:pt idx="88">
                  <c:v>44000</c:v>
                </c:pt>
                <c:pt idx="89">
                  <c:v>44500</c:v>
                </c:pt>
                <c:pt idx="90">
                  <c:v>45000</c:v>
                </c:pt>
                <c:pt idx="91">
                  <c:v>45500</c:v>
                </c:pt>
                <c:pt idx="92">
                  <c:v>46000</c:v>
                </c:pt>
                <c:pt idx="93">
                  <c:v>46500</c:v>
                </c:pt>
                <c:pt idx="94">
                  <c:v>47000</c:v>
                </c:pt>
                <c:pt idx="95">
                  <c:v>47500</c:v>
                </c:pt>
                <c:pt idx="96">
                  <c:v>48000</c:v>
                </c:pt>
                <c:pt idx="97">
                  <c:v>48500</c:v>
                </c:pt>
                <c:pt idx="98">
                  <c:v>49000</c:v>
                </c:pt>
                <c:pt idx="99">
                  <c:v>49500</c:v>
                </c:pt>
                <c:pt idx="100">
                  <c:v>50000</c:v>
                </c:pt>
                <c:pt idx="101">
                  <c:v>50500</c:v>
                </c:pt>
                <c:pt idx="102">
                  <c:v>51000</c:v>
                </c:pt>
                <c:pt idx="103">
                  <c:v>51500</c:v>
                </c:pt>
                <c:pt idx="104">
                  <c:v>52000</c:v>
                </c:pt>
                <c:pt idx="105">
                  <c:v>52500</c:v>
                </c:pt>
                <c:pt idx="106">
                  <c:v>53000</c:v>
                </c:pt>
                <c:pt idx="107">
                  <c:v>53500</c:v>
                </c:pt>
                <c:pt idx="108">
                  <c:v>54000</c:v>
                </c:pt>
                <c:pt idx="109">
                  <c:v>54500</c:v>
                </c:pt>
                <c:pt idx="110">
                  <c:v>55000</c:v>
                </c:pt>
                <c:pt idx="111">
                  <c:v>55500</c:v>
                </c:pt>
                <c:pt idx="112">
                  <c:v>56000</c:v>
                </c:pt>
                <c:pt idx="113">
                  <c:v>56500</c:v>
                </c:pt>
                <c:pt idx="114">
                  <c:v>57000</c:v>
                </c:pt>
                <c:pt idx="115">
                  <c:v>57500</c:v>
                </c:pt>
                <c:pt idx="116">
                  <c:v>58000</c:v>
                </c:pt>
                <c:pt idx="117">
                  <c:v>58500</c:v>
                </c:pt>
                <c:pt idx="118">
                  <c:v>59000</c:v>
                </c:pt>
                <c:pt idx="119">
                  <c:v>59500</c:v>
                </c:pt>
                <c:pt idx="120">
                  <c:v>60000</c:v>
                </c:pt>
                <c:pt idx="121">
                  <c:v>60500</c:v>
                </c:pt>
                <c:pt idx="122">
                  <c:v>61000</c:v>
                </c:pt>
                <c:pt idx="123">
                  <c:v>61500</c:v>
                </c:pt>
                <c:pt idx="124">
                  <c:v>62000</c:v>
                </c:pt>
                <c:pt idx="125">
                  <c:v>62500</c:v>
                </c:pt>
                <c:pt idx="126">
                  <c:v>63000</c:v>
                </c:pt>
                <c:pt idx="127">
                  <c:v>63500</c:v>
                </c:pt>
                <c:pt idx="128">
                  <c:v>64000</c:v>
                </c:pt>
                <c:pt idx="129">
                  <c:v>64500</c:v>
                </c:pt>
                <c:pt idx="130">
                  <c:v>65000</c:v>
                </c:pt>
                <c:pt idx="131">
                  <c:v>65500</c:v>
                </c:pt>
                <c:pt idx="132">
                  <c:v>66000</c:v>
                </c:pt>
                <c:pt idx="133">
                  <c:v>66500</c:v>
                </c:pt>
                <c:pt idx="134">
                  <c:v>67000</c:v>
                </c:pt>
                <c:pt idx="135">
                  <c:v>67500</c:v>
                </c:pt>
                <c:pt idx="136">
                  <c:v>68000</c:v>
                </c:pt>
                <c:pt idx="137">
                  <c:v>68500</c:v>
                </c:pt>
                <c:pt idx="138">
                  <c:v>69000</c:v>
                </c:pt>
                <c:pt idx="139">
                  <c:v>69500</c:v>
                </c:pt>
                <c:pt idx="140">
                  <c:v>70000</c:v>
                </c:pt>
                <c:pt idx="141">
                  <c:v>70500</c:v>
                </c:pt>
                <c:pt idx="142">
                  <c:v>71000</c:v>
                </c:pt>
                <c:pt idx="143">
                  <c:v>71500</c:v>
                </c:pt>
                <c:pt idx="144">
                  <c:v>72000</c:v>
                </c:pt>
                <c:pt idx="145">
                  <c:v>72500</c:v>
                </c:pt>
                <c:pt idx="146">
                  <c:v>73000</c:v>
                </c:pt>
                <c:pt idx="147">
                  <c:v>73500</c:v>
                </c:pt>
                <c:pt idx="148">
                  <c:v>74000</c:v>
                </c:pt>
                <c:pt idx="149">
                  <c:v>74500</c:v>
                </c:pt>
                <c:pt idx="150">
                  <c:v>75000</c:v>
                </c:pt>
                <c:pt idx="151">
                  <c:v>75500</c:v>
                </c:pt>
                <c:pt idx="152">
                  <c:v>76000</c:v>
                </c:pt>
                <c:pt idx="153">
                  <c:v>76500</c:v>
                </c:pt>
                <c:pt idx="154">
                  <c:v>77000</c:v>
                </c:pt>
                <c:pt idx="155">
                  <c:v>77500</c:v>
                </c:pt>
                <c:pt idx="156">
                  <c:v>78000</c:v>
                </c:pt>
                <c:pt idx="157">
                  <c:v>78500</c:v>
                </c:pt>
                <c:pt idx="158">
                  <c:v>79000</c:v>
                </c:pt>
                <c:pt idx="159">
                  <c:v>79500</c:v>
                </c:pt>
                <c:pt idx="160">
                  <c:v>80000</c:v>
                </c:pt>
                <c:pt idx="161">
                  <c:v>80500</c:v>
                </c:pt>
                <c:pt idx="162">
                  <c:v>81000</c:v>
                </c:pt>
                <c:pt idx="163">
                  <c:v>81500</c:v>
                </c:pt>
                <c:pt idx="164">
                  <c:v>82000</c:v>
                </c:pt>
                <c:pt idx="165">
                  <c:v>82500</c:v>
                </c:pt>
                <c:pt idx="166">
                  <c:v>83000</c:v>
                </c:pt>
                <c:pt idx="167">
                  <c:v>83500</c:v>
                </c:pt>
                <c:pt idx="168">
                  <c:v>84000</c:v>
                </c:pt>
                <c:pt idx="169">
                  <c:v>84500</c:v>
                </c:pt>
                <c:pt idx="170">
                  <c:v>85000</c:v>
                </c:pt>
                <c:pt idx="171">
                  <c:v>85500</c:v>
                </c:pt>
                <c:pt idx="172">
                  <c:v>86000</c:v>
                </c:pt>
                <c:pt idx="173">
                  <c:v>86500</c:v>
                </c:pt>
                <c:pt idx="174">
                  <c:v>87000</c:v>
                </c:pt>
                <c:pt idx="175">
                  <c:v>87500</c:v>
                </c:pt>
                <c:pt idx="176">
                  <c:v>88000</c:v>
                </c:pt>
                <c:pt idx="177">
                  <c:v>88500</c:v>
                </c:pt>
                <c:pt idx="178">
                  <c:v>89000</c:v>
                </c:pt>
                <c:pt idx="179">
                  <c:v>89500</c:v>
                </c:pt>
                <c:pt idx="180">
                  <c:v>90000</c:v>
                </c:pt>
                <c:pt idx="181">
                  <c:v>90500</c:v>
                </c:pt>
                <c:pt idx="182">
                  <c:v>91000</c:v>
                </c:pt>
                <c:pt idx="183">
                  <c:v>91500</c:v>
                </c:pt>
                <c:pt idx="184">
                  <c:v>92000</c:v>
                </c:pt>
                <c:pt idx="185">
                  <c:v>92500</c:v>
                </c:pt>
                <c:pt idx="186">
                  <c:v>93000</c:v>
                </c:pt>
                <c:pt idx="187">
                  <c:v>93500</c:v>
                </c:pt>
                <c:pt idx="188">
                  <c:v>94000</c:v>
                </c:pt>
                <c:pt idx="189">
                  <c:v>94500</c:v>
                </c:pt>
                <c:pt idx="190">
                  <c:v>95000</c:v>
                </c:pt>
                <c:pt idx="191">
                  <c:v>95500</c:v>
                </c:pt>
                <c:pt idx="192">
                  <c:v>96000</c:v>
                </c:pt>
                <c:pt idx="193">
                  <c:v>96500</c:v>
                </c:pt>
                <c:pt idx="194">
                  <c:v>97000</c:v>
                </c:pt>
                <c:pt idx="195">
                  <c:v>97500</c:v>
                </c:pt>
                <c:pt idx="196">
                  <c:v>98000</c:v>
                </c:pt>
                <c:pt idx="197">
                  <c:v>98500</c:v>
                </c:pt>
                <c:pt idx="198">
                  <c:v>99000</c:v>
                </c:pt>
                <c:pt idx="199">
                  <c:v>99500</c:v>
                </c:pt>
              </c:numCache>
            </c:numRef>
          </c:cat>
          <c:val>
            <c:numRef>
              <c:f>Calc!$J$19:$J$218</c:f>
              <c:numCache>
                <c:formatCode>0.0%</c:formatCode>
                <c:ptCount val="2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0.85</c:v>
                </c:pt>
                <c:pt idx="33">
                  <c:v>0.85</c:v>
                </c:pt>
                <c:pt idx="34">
                  <c:v>0.85</c:v>
                </c:pt>
                <c:pt idx="35">
                  <c:v>0.85</c:v>
                </c:pt>
                <c:pt idx="36">
                  <c:v>0.85</c:v>
                </c:pt>
                <c:pt idx="37">
                  <c:v>0.85</c:v>
                </c:pt>
                <c:pt idx="38">
                  <c:v>0.85</c:v>
                </c:pt>
                <c:pt idx="39">
                  <c:v>0.85</c:v>
                </c:pt>
                <c:pt idx="40">
                  <c:v>0.85</c:v>
                </c:pt>
                <c:pt idx="41">
                  <c:v>0.85</c:v>
                </c:pt>
                <c:pt idx="42">
                  <c:v>0.85</c:v>
                </c:pt>
                <c:pt idx="43">
                  <c:v>0.85</c:v>
                </c:pt>
                <c:pt idx="44">
                  <c:v>0.85</c:v>
                </c:pt>
                <c:pt idx="45">
                  <c:v>0.85</c:v>
                </c:pt>
                <c:pt idx="46">
                  <c:v>0.85</c:v>
                </c:pt>
                <c:pt idx="47">
                  <c:v>0.85</c:v>
                </c:pt>
                <c:pt idx="48">
                  <c:v>0.85</c:v>
                </c:pt>
                <c:pt idx="49">
                  <c:v>0.85</c:v>
                </c:pt>
                <c:pt idx="50">
                  <c:v>0.85</c:v>
                </c:pt>
                <c:pt idx="51">
                  <c:v>0.85</c:v>
                </c:pt>
                <c:pt idx="52">
                  <c:v>0.85</c:v>
                </c:pt>
                <c:pt idx="53">
                  <c:v>0.85</c:v>
                </c:pt>
                <c:pt idx="54">
                  <c:v>0.85</c:v>
                </c:pt>
                <c:pt idx="55">
                  <c:v>0.85</c:v>
                </c:pt>
                <c:pt idx="56">
                  <c:v>0.85</c:v>
                </c:pt>
                <c:pt idx="57">
                  <c:v>0.85</c:v>
                </c:pt>
                <c:pt idx="58">
                  <c:v>0.85</c:v>
                </c:pt>
                <c:pt idx="59">
                  <c:v>0.85</c:v>
                </c:pt>
                <c:pt idx="60">
                  <c:v>0.85</c:v>
                </c:pt>
                <c:pt idx="61">
                  <c:v>0.85</c:v>
                </c:pt>
                <c:pt idx="62">
                  <c:v>0.85</c:v>
                </c:pt>
                <c:pt idx="63">
                  <c:v>0.85</c:v>
                </c:pt>
                <c:pt idx="64">
                  <c:v>0.85</c:v>
                </c:pt>
                <c:pt idx="65">
                  <c:v>0.85</c:v>
                </c:pt>
                <c:pt idx="66">
                  <c:v>0.85</c:v>
                </c:pt>
                <c:pt idx="67">
                  <c:v>0.85</c:v>
                </c:pt>
                <c:pt idx="68">
                  <c:v>0.85</c:v>
                </c:pt>
                <c:pt idx="69">
                  <c:v>0.85</c:v>
                </c:pt>
                <c:pt idx="70">
                  <c:v>0.85</c:v>
                </c:pt>
                <c:pt idx="71">
                  <c:v>0.85</c:v>
                </c:pt>
                <c:pt idx="72">
                  <c:v>0.85</c:v>
                </c:pt>
                <c:pt idx="73">
                  <c:v>0.85</c:v>
                </c:pt>
                <c:pt idx="74">
                  <c:v>0.85</c:v>
                </c:pt>
                <c:pt idx="75">
                  <c:v>0.85</c:v>
                </c:pt>
                <c:pt idx="76">
                  <c:v>0.85</c:v>
                </c:pt>
                <c:pt idx="77">
                  <c:v>0.85</c:v>
                </c:pt>
                <c:pt idx="78">
                  <c:v>0.85</c:v>
                </c:pt>
                <c:pt idx="79">
                  <c:v>0.85</c:v>
                </c:pt>
                <c:pt idx="80">
                  <c:v>0.85</c:v>
                </c:pt>
                <c:pt idx="81">
                  <c:v>0.85</c:v>
                </c:pt>
                <c:pt idx="82">
                  <c:v>0.85</c:v>
                </c:pt>
                <c:pt idx="83">
                  <c:v>0.85</c:v>
                </c:pt>
                <c:pt idx="84">
                  <c:v>0.85</c:v>
                </c:pt>
                <c:pt idx="85">
                  <c:v>0.85</c:v>
                </c:pt>
                <c:pt idx="86">
                  <c:v>0.85</c:v>
                </c:pt>
                <c:pt idx="87">
                  <c:v>0.85</c:v>
                </c:pt>
                <c:pt idx="88">
                  <c:v>0.85</c:v>
                </c:pt>
                <c:pt idx="89">
                  <c:v>0.85</c:v>
                </c:pt>
                <c:pt idx="90">
                  <c:v>0.85</c:v>
                </c:pt>
                <c:pt idx="91">
                  <c:v>0.85</c:v>
                </c:pt>
                <c:pt idx="92">
                  <c:v>0.85</c:v>
                </c:pt>
                <c:pt idx="93">
                  <c:v>0.35</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numCache>
            </c:numRef>
          </c:val>
          <c:smooth val="0"/>
          <c:extLst>
            <c:ext xmlns:c16="http://schemas.microsoft.com/office/drawing/2014/chart" uri="{C3380CC4-5D6E-409C-BE32-E72D297353CC}">
              <c16:uniqueId val="{00000000-2FC8-4850-BE0F-53B69919E7BD}"/>
            </c:ext>
          </c:extLst>
        </c:ser>
        <c:dLbls>
          <c:showLegendKey val="0"/>
          <c:showVal val="0"/>
          <c:showCatName val="0"/>
          <c:showSerName val="0"/>
          <c:showPercent val="0"/>
          <c:showBubbleSize val="0"/>
        </c:dLbls>
        <c:smooth val="0"/>
        <c:axId val="2116436504"/>
        <c:axId val="2116439720"/>
      </c:lineChart>
      <c:catAx>
        <c:axId val="2116436504"/>
        <c:scaling>
          <c:orientation val="minMax"/>
        </c:scaling>
        <c:delete val="0"/>
        <c:axPos val="b"/>
        <c:numFmt formatCode="_(* #,##0_);_(* \(#,##0\);_(* &quot;-&quot;??_);_(@_)" sourceLinked="1"/>
        <c:majorTickMark val="out"/>
        <c:minorTickMark val="none"/>
        <c:tickLblPos val="nextTo"/>
        <c:txPr>
          <a:bodyPr/>
          <a:lstStyle/>
          <a:p>
            <a:pPr>
              <a:defRPr sz="1200" baseline="0"/>
            </a:pPr>
            <a:endParaRPr lang="en-US"/>
          </a:p>
        </c:txPr>
        <c:crossAx val="2116439720"/>
        <c:crosses val="autoZero"/>
        <c:auto val="1"/>
        <c:lblAlgn val="ctr"/>
        <c:lblOffset val="100"/>
        <c:noMultiLvlLbl val="0"/>
      </c:catAx>
      <c:valAx>
        <c:axId val="2116439720"/>
        <c:scaling>
          <c:orientation val="minMax"/>
        </c:scaling>
        <c:delete val="0"/>
        <c:axPos val="l"/>
        <c:majorGridlines/>
        <c:numFmt formatCode="0.0%" sourceLinked="1"/>
        <c:majorTickMark val="out"/>
        <c:minorTickMark val="none"/>
        <c:tickLblPos val="nextTo"/>
        <c:txPr>
          <a:bodyPr/>
          <a:lstStyle/>
          <a:p>
            <a:pPr>
              <a:defRPr sz="1200" baseline="0"/>
            </a:pPr>
            <a:endParaRPr lang="en-US"/>
          </a:p>
        </c:txPr>
        <c:crossAx val="2116436504"/>
        <c:crosses val="autoZero"/>
        <c:crossBetween val="between"/>
      </c:valAx>
    </c:plotArea>
    <c:plotVisOnly val="1"/>
    <c:dispBlanksAs val="gap"/>
    <c:showDLblsOverMax val="0"/>
  </c:chart>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533399</xdr:colOff>
      <xdr:row>11</xdr:row>
      <xdr:rowOff>142876</xdr:rowOff>
    </xdr:from>
    <xdr:to>
      <xdr:col>13</xdr:col>
      <xdr:colOff>571499</xdr:colOff>
      <xdr:row>39</xdr:row>
      <xdr:rowOff>76200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42</xdr:row>
      <xdr:rowOff>95250</xdr:rowOff>
    </xdr:from>
    <xdr:to>
      <xdr:col>13</xdr:col>
      <xdr:colOff>609600</xdr:colOff>
      <xdr:row>70</xdr:row>
      <xdr:rowOff>28574</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1</xdr:row>
      <xdr:rowOff>28576</xdr:rowOff>
    </xdr:from>
    <xdr:to>
      <xdr:col>10</xdr:col>
      <xdr:colOff>19050</xdr:colOff>
      <xdr:row>7</xdr:row>
      <xdr:rowOff>66676</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76225" y="190501"/>
          <a:ext cx="6143625"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 graph on the Main sheet shows the</a:t>
          </a:r>
          <a:r>
            <a:rPr lang="en-US" sz="1100" baseline="0"/>
            <a:t> "marginal" federal  tax rate. For example, assume with an income of $10,000 I owe $1,000 in tax. If, when my income increases to $10,100, my tax increases to $1,046, then my "marginal" tax rate is 46%. This is computed by dividing the $46 increase in tax by the $100 increase in income. The graph will have "stair steps" as the marginal tax rate changes,  up or down, as income increases. </a:t>
          </a:r>
        </a:p>
      </xdr:txBody>
    </xdr:sp>
    <xdr:clientData/>
  </xdr:twoCellAnchor>
  <xdr:twoCellAnchor>
    <xdr:from>
      <xdr:col>1</xdr:col>
      <xdr:colOff>9525</xdr:colOff>
      <xdr:row>63</xdr:row>
      <xdr:rowOff>47625</xdr:rowOff>
    </xdr:from>
    <xdr:to>
      <xdr:col>10</xdr:col>
      <xdr:colOff>85725</xdr:colOff>
      <xdr:row>69</xdr:row>
      <xdr:rowOff>50801</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415925" y="6689725"/>
          <a:ext cx="6311900" cy="663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This spreadsheet only handles</a:t>
          </a:r>
          <a:r>
            <a:rPr lang="en-US" sz="1100" baseline="0"/>
            <a:t> single and joint returns </a:t>
          </a:r>
          <a:r>
            <a:rPr lang="en-US" sz="1100"/>
            <a:t>for incomes that don't extend beyond </a:t>
          </a:r>
          <a:r>
            <a:rPr lang="en-US" sz="1100" baseline="0"/>
            <a:t> the 5th tax bracket (32% since 2018). It does handle tax exempt income, long term capital gains &amp; qualified dividend income, and Social Security benefits. It does handle phaseout of the temporary extra  deduction for seniors beginning 2025. But it doesn't handle any other phaseouts, NIIT, AMT, or other special calculations.</a:t>
          </a:r>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bogleheads.org/wiki/Taxation_of_Social_Security_benefits" TargetMode="External"/><Relationship Id="rId2" Type="http://schemas.openxmlformats.org/officeDocument/2006/relationships/hyperlink" Target="https://www.taxact.com/tools/tax-calculator" TargetMode="External"/><Relationship Id="rId1" Type="http://schemas.openxmlformats.org/officeDocument/2006/relationships/hyperlink" Target="https://www.bogleheads.org/wiki/Taxation_of_Social_Security_benefits"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irs.gov/pub/irs-drop/rp-13-35.pdf" TargetMode="External"/><Relationship Id="rId13" Type="http://schemas.openxmlformats.org/officeDocument/2006/relationships/hyperlink" Target="https://www.bogleheads.org/wiki/Taxation_of_Social_Security_benefits" TargetMode="External"/><Relationship Id="rId3" Type="http://schemas.openxmlformats.org/officeDocument/2006/relationships/hyperlink" Target="https://www.bogleheads.org/forum/viewtopic.php?p=2622990" TargetMode="External"/><Relationship Id="rId7" Type="http://schemas.openxmlformats.org/officeDocument/2006/relationships/hyperlink" Target="https://www.irs.gov/pub/irs-drop/rp-15-53.pdf" TargetMode="External"/><Relationship Id="rId12" Type="http://schemas.openxmlformats.org/officeDocument/2006/relationships/hyperlink" Target="https://www.irs.gov/newsroom/irs-provides-tax-inflation-adjustments-for-tax-year-2019" TargetMode="External"/><Relationship Id="rId2" Type="http://schemas.openxmlformats.org/officeDocument/2006/relationships/hyperlink" Target="https://www.bogleheads.org/forum/viewtopic.php?t=173592" TargetMode="External"/><Relationship Id="rId1" Type="http://schemas.openxmlformats.org/officeDocument/2006/relationships/hyperlink" Target="https://www.bogleheads.org/wiki/Social_Security_tax_impact_calculator" TargetMode="External"/><Relationship Id="rId6" Type="http://schemas.openxmlformats.org/officeDocument/2006/relationships/hyperlink" Target="http://www.irs.gov/pub/irs-drop/rp-14-61.pdf" TargetMode="External"/><Relationship Id="rId11" Type="http://schemas.openxmlformats.org/officeDocument/2006/relationships/hyperlink" Target="https://www.irs.gov/pub/irs-drop/rp-17-58.pdf" TargetMode="External"/><Relationship Id="rId5" Type="http://schemas.openxmlformats.org/officeDocument/2006/relationships/hyperlink" Target="https://www.bogleheads.org/wiki/Taxation_of_Social_Security_benefits" TargetMode="External"/><Relationship Id="rId15" Type="http://schemas.openxmlformats.org/officeDocument/2006/relationships/hyperlink" Target="https://www.irs.gov/pub/irs-drop/rp-23-34.pdf" TargetMode="External"/><Relationship Id="rId10" Type="http://schemas.openxmlformats.org/officeDocument/2006/relationships/hyperlink" Target="https://www.kitces.com/blog/final-gop-tax-plan-summary-tcja-2017-individual-tax-brackets-pass-through-strategies/" TargetMode="External"/><Relationship Id="rId4" Type="http://schemas.openxmlformats.org/officeDocument/2006/relationships/hyperlink" Target="http://www.irs.gov/publications/p915/ar02.html" TargetMode="External"/><Relationship Id="rId9" Type="http://schemas.openxmlformats.org/officeDocument/2006/relationships/hyperlink" Target="https://www.irs.gov/pub/irs-drop/rp-16-55.pdf" TargetMode="External"/><Relationship Id="rId14" Type="http://schemas.openxmlformats.org/officeDocument/2006/relationships/hyperlink" Target="https://www.irs.gov/pub/irs-drop/rp-22-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workbookViewId="0">
      <selection activeCell="B1" sqref="B1"/>
    </sheetView>
  </sheetViews>
  <sheetFormatPr defaultColWidth="8.765625" defaultRowHeight="13.5" x14ac:dyDescent="0.3"/>
  <cols>
    <col min="1" max="1" width="25.23046875" customWidth="1"/>
    <col min="2" max="2" width="10.61328125" bestFit="1" customWidth="1"/>
  </cols>
  <sheetData>
    <row r="1" spans="1:7" x14ac:dyDescent="0.3">
      <c r="A1" t="s">
        <v>72</v>
      </c>
      <c r="B1" s="22">
        <v>2026</v>
      </c>
      <c r="C1" t="s">
        <v>240</v>
      </c>
    </row>
    <row r="2" spans="1:7" x14ac:dyDescent="0.3">
      <c r="A2" t="s">
        <v>3</v>
      </c>
      <c r="B2" s="22">
        <v>1</v>
      </c>
      <c r="C2" t="s">
        <v>260</v>
      </c>
    </row>
    <row r="3" spans="1:7" x14ac:dyDescent="0.3">
      <c r="A3" t="s">
        <v>73</v>
      </c>
      <c r="B3" s="22">
        <v>1</v>
      </c>
      <c r="C3" t="s">
        <v>261</v>
      </c>
    </row>
    <row r="4" spans="1:7" x14ac:dyDescent="0.3">
      <c r="A4" t="s">
        <v>4</v>
      </c>
      <c r="B4" s="24">
        <v>0</v>
      </c>
      <c r="C4" t="s">
        <v>109</v>
      </c>
    </row>
    <row r="5" spans="1:7" x14ac:dyDescent="0.3">
      <c r="A5" t="s">
        <v>1</v>
      </c>
      <c r="B5" s="25"/>
      <c r="C5" t="s">
        <v>33</v>
      </c>
    </row>
    <row r="6" spans="1:7" x14ac:dyDescent="0.3">
      <c r="A6" t="s">
        <v>2</v>
      </c>
      <c r="B6" s="25">
        <v>0</v>
      </c>
      <c r="C6" t="s">
        <v>80</v>
      </c>
    </row>
    <row r="7" spans="1:7" x14ac:dyDescent="0.3">
      <c r="A7" t="s">
        <v>0</v>
      </c>
      <c r="B7" s="26">
        <v>36000</v>
      </c>
      <c r="C7" t="s">
        <v>28</v>
      </c>
    </row>
    <row r="8" spans="1:7" x14ac:dyDescent="0.3">
      <c r="A8" t="s">
        <v>5</v>
      </c>
      <c r="B8" s="23"/>
      <c r="C8" t="s">
        <v>30</v>
      </c>
    </row>
    <row r="9" spans="1:7" x14ac:dyDescent="0.3">
      <c r="A9" t="s">
        <v>6</v>
      </c>
      <c r="B9" s="23"/>
      <c r="C9" t="s">
        <v>31</v>
      </c>
    </row>
    <row r="10" spans="1:7" x14ac:dyDescent="0.3">
      <c r="A10" s="2" t="str">
        <f>IF(OR(Calc!B10&lt;1,Calc!B10&gt;4),"Blank one and only one of cells B4:B7 (zero isn't the same as blank)","")</f>
        <v/>
      </c>
    </row>
    <row r="11" spans="1:7" ht="17.5" x14ac:dyDescent="0.35">
      <c r="G11" s="13" t="str">
        <f>"For "&amp;Calc!C10</f>
        <v>For Non-SS Ordinary Income</v>
      </c>
    </row>
  </sheetData>
  <sheetProtection sheet="1" formatCells="0" formatColumns="0" formatRows="0"/>
  <conditionalFormatting sqref="C2">
    <cfRule type="expression" dxfId="3" priority="2">
      <formula>OR(NOT(ISNUMBER(B2)),B2&lt;1,B2&gt;2)</formula>
    </cfRule>
  </conditionalFormatting>
  <conditionalFormatting sqref="C3">
    <cfRule type="expression" dxfId="2" priority="1">
      <formula>OR(NOT(ISNUMBER(B3)),B3&lt;0,B3&gt;2,B3&gt;B2)</formula>
    </cfRule>
  </conditionalFormatting>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24"/>
  <sheetViews>
    <sheetView workbookViewId="0">
      <selection activeCell="B11" sqref="B11"/>
    </sheetView>
  </sheetViews>
  <sheetFormatPr defaultColWidth="8.765625" defaultRowHeight="13.5" x14ac:dyDescent="0.3"/>
  <cols>
    <col min="1" max="1" width="11.07421875" style="3" customWidth="1"/>
    <col min="2" max="2" width="9" style="3" bestFit="1" customWidth="1"/>
    <col min="3" max="3" width="9" style="3" customWidth="1"/>
    <col min="4" max="5" width="9.15234375" style="3" customWidth="1"/>
    <col min="6" max="6" width="9.15234375" style="3" bestFit="1" customWidth="1"/>
    <col min="7" max="7" width="7.3828125" style="3" customWidth="1"/>
    <col min="8" max="8" width="8.765625" style="3" bestFit="1" customWidth="1"/>
    <col min="9" max="9" width="8.765625" style="3" customWidth="1"/>
    <col min="10" max="10" width="8.23046875" style="3" customWidth="1"/>
    <col min="11" max="11" width="12.07421875" style="3" bestFit="1" customWidth="1"/>
    <col min="12" max="12" width="11.07421875" style="3" bestFit="1" customWidth="1"/>
    <col min="13" max="13" width="9.3828125" style="3" bestFit="1" customWidth="1"/>
    <col min="14" max="14" width="8.84375" style="3" customWidth="1"/>
    <col min="15" max="15" width="9.61328125" style="3" customWidth="1"/>
    <col min="16" max="16" width="8.921875" style="3" customWidth="1"/>
    <col min="17" max="17" width="8.765625" style="3" customWidth="1"/>
    <col min="18" max="18" width="9" customWidth="1"/>
    <col min="19" max="19" width="8.765625" bestFit="1" customWidth="1"/>
    <col min="20" max="20" width="7.84375" customWidth="1"/>
    <col min="21" max="22" width="8.15234375" customWidth="1"/>
    <col min="23" max="23" width="8" bestFit="1" customWidth="1"/>
    <col min="24" max="24" width="7.3828125" bestFit="1" customWidth="1"/>
    <col min="25" max="26" width="8" bestFit="1" customWidth="1"/>
    <col min="27" max="27" width="8" customWidth="1"/>
  </cols>
  <sheetData>
    <row r="1" spans="1:18" x14ac:dyDescent="0.3">
      <c r="A1" s="17" t="s">
        <v>72</v>
      </c>
      <c r="B1" s="46">
        <f>Main!B1</f>
        <v>2026</v>
      </c>
      <c r="C1" s="46"/>
      <c r="L1" s="6" t="s">
        <v>10</v>
      </c>
      <c r="M1" s="6" t="s">
        <v>279</v>
      </c>
      <c r="N1" s="14" t="s">
        <v>285</v>
      </c>
      <c r="Q1"/>
    </row>
    <row r="2" spans="1:18" x14ac:dyDescent="0.3">
      <c r="A2" s="17" t="s">
        <v>280</v>
      </c>
      <c r="B2" s="46">
        <f>Main!B2</f>
        <v>1</v>
      </c>
      <c r="L2" s="6" t="s">
        <v>11</v>
      </c>
      <c r="M2" s="6"/>
      <c r="N2" s="15">
        <f>IF(ISNUMBER(Main!B8),Calc!B8,HLOOKUP(B$2&amp;B$1,combo_tbl,3,FALSE)+B$3*HLOOKUP(B$2&amp;B$1,combo_tbl,4,FALSE))</f>
        <v>18150</v>
      </c>
      <c r="Q2"/>
    </row>
    <row r="3" spans="1:18" x14ac:dyDescent="0.3">
      <c r="A3" s="17" t="s">
        <v>74</v>
      </c>
      <c r="B3" s="46">
        <f>Main!B3</f>
        <v>1</v>
      </c>
      <c r="C3" s="46"/>
      <c r="L3" s="6" t="s">
        <v>12</v>
      </c>
      <c r="M3" s="6">
        <v>5</v>
      </c>
      <c r="N3" s="15">
        <f>IF(ISNUMBER(Main!B9),Calc!B9,HLOOKUP(B$2&amp;B$1,combo_tbl,M3,FALSE))</f>
        <v>0</v>
      </c>
      <c r="Q3"/>
    </row>
    <row r="4" spans="1:18" x14ac:dyDescent="0.3">
      <c r="A4" s="16" t="s">
        <v>4</v>
      </c>
      <c r="B4" s="3">
        <f>IF(ISNUMBER(Main!B4),Main!B4,0)</f>
        <v>0</v>
      </c>
      <c r="L4" s="6" t="s">
        <v>13</v>
      </c>
      <c r="M4" s="6">
        <f>M3+1</f>
        <v>6</v>
      </c>
      <c r="N4" s="15">
        <f t="shared" ref="N4:N15" si="0">HLOOKUP(B$2&amp;B$1,combo_tbl,M4,FALSE)</f>
        <v>25000</v>
      </c>
      <c r="Q4"/>
    </row>
    <row r="5" spans="1:18" x14ac:dyDescent="0.3">
      <c r="A5" s="16" t="s">
        <v>1</v>
      </c>
      <c r="B5" s="3">
        <f>IF(ISNUMBER(Main!B5),Main!B5,0)</f>
        <v>0</v>
      </c>
      <c r="L5" s="6" t="s">
        <v>14</v>
      </c>
      <c r="M5" s="6">
        <f t="shared" ref="M5:M15" si="1">M4+1</f>
        <v>7</v>
      </c>
      <c r="N5" s="15">
        <f t="shared" si="0"/>
        <v>34000</v>
      </c>
      <c r="Q5"/>
    </row>
    <row r="6" spans="1:18" x14ac:dyDescent="0.3">
      <c r="A6" s="16" t="s">
        <v>2</v>
      </c>
      <c r="B6" s="3">
        <f>IF(ISNUMBER(Main!B6),Main!B6,0)</f>
        <v>0</v>
      </c>
      <c r="K6" s="6" t="s">
        <v>17</v>
      </c>
      <c r="L6" s="5">
        <f>HLOOKUP($B$1,rate_tbl,2,FALSE)</f>
        <v>0.1</v>
      </c>
      <c r="M6" s="6">
        <f t="shared" si="1"/>
        <v>8</v>
      </c>
      <c r="N6" s="15">
        <f t="shared" si="0"/>
        <v>0</v>
      </c>
      <c r="Q6"/>
    </row>
    <row r="7" spans="1:18" x14ac:dyDescent="0.3">
      <c r="A7" s="16" t="s">
        <v>0</v>
      </c>
      <c r="B7" s="3">
        <f>IF(ISNUMBER(Main!B7),Main!B7,0)</f>
        <v>36000</v>
      </c>
      <c r="K7" s="6" t="s">
        <v>17</v>
      </c>
      <c r="L7" s="5">
        <f>HLOOKUP($B$1,rate_tbl,3,FALSE)</f>
        <v>0.12</v>
      </c>
      <c r="M7" s="6">
        <f t="shared" si="1"/>
        <v>9</v>
      </c>
      <c r="N7" s="15">
        <f t="shared" si="0"/>
        <v>12400</v>
      </c>
      <c r="Q7"/>
    </row>
    <row r="8" spans="1:18" x14ac:dyDescent="0.3">
      <c r="A8" s="17" t="s">
        <v>5</v>
      </c>
      <c r="B8" s="3">
        <f>IF(ISNUMBER(Main!B8),Main!B8,0)</f>
        <v>0</v>
      </c>
      <c r="K8" s="6" t="s">
        <v>17</v>
      </c>
      <c r="L8" s="5">
        <f>HLOOKUP($B$1,rate_tbl,4,FALSE)</f>
        <v>0.22</v>
      </c>
      <c r="M8" s="6">
        <f t="shared" si="1"/>
        <v>10</v>
      </c>
      <c r="N8" s="15">
        <f t="shared" si="0"/>
        <v>50400</v>
      </c>
      <c r="Q8"/>
    </row>
    <row r="9" spans="1:18" x14ac:dyDescent="0.3">
      <c r="A9" s="17" t="s">
        <v>6</v>
      </c>
      <c r="B9" s="3">
        <f>IF(ISNUMBER(Main!B9),Main!B9,0)</f>
        <v>0</v>
      </c>
      <c r="K9" s="6" t="s">
        <v>17</v>
      </c>
      <c r="L9" s="5">
        <f>HLOOKUP($B$1,rate_tbl,5,FALSE)</f>
        <v>0.24</v>
      </c>
      <c r="M9" s="6">
        <f t="shared" si="1"/>
        <v>11</v>
      </c>
      <c r="N9" s="15">
        <f t="shared" si="0"/>
        <v>105700</v>
      </c>
      <c r="Q9"/>
    </row>
    <row r="10" spans="1:18" x14ac:dyDescent="0.3">
      <c r="A10" s="17" t="s">
        <v>8</v>
      </c>
      <c r="B10" s="3">
        <f>IF(ISNUMBER(Main!B4),0,11)+IF(ISNUMBER(Main!B5),0,12)+IF(ISNUMBER(Main!B6),0,13)+IF(ISNUMBER(Main!B7),0,14)-10</f>
        <v>2</v>
      </c>
      <c r="C10" s="3" t="str">
        <f>INDEX(A4:A7,B10,1)</f>
        <v>Non-SS Ordinary Income</v>
      </c>
      <c r="K10" s="6" t="s">
        <v>17</v>
      </c>
      <c r="L10" s="5">
        <f>HLOOKUP($B$1,rate_tbl,6,FALSE)</f>
        <v>0.32</v>
      </c>
      <c r="M10" s="6">
        <f t="shared" si="1"/>
        <v>12</v>
      </c>
      <c r="N10" s="15">
        <f t="shared" si="0"/>
        <v>201775</v>
      </c>
      <c r="Q10"/>
    </row>
    <row r="11" spans="1:18" x14ac:dyDescent="0.3">
      <c r="A11" s="17" t="s">
        <v>32</v>
      </c>
      <c r="B11" s="27">
        <v>0</v>
      </c>
      <c r="C11" s="61"/>
      <c r="K11" s="6" t="s">
        <v>18</v>
      </c>
      <c r="L11" s="5">
        <f>HLOOKUP($B$1,rate_tbl,9,FALSE)</f>
        <v>0</v>
      </c>
      <c r="M11" s="6">
        <v>15</v>
      </c>
      <c r="N11" s="15">
        <f t="shared" si="0"/>
        <v>0</v>
      </c>
      <c r="Q11"/>
    </row>
    <row r="12" spans="1:18" x14ac:dyDescent="0.3">
      <c r="A12" s="17" t="s">
        <v>21</v>
      </c>
      <c r="B12" s="27">
        <v>500</v>
      </c>
      <c r="C12" s="61"/>
      <c r="K12" s="6" t="s">
        <v>18</v>
      </c>
      <c r="L12" s="5">
        <f>HLOOKUP($B$1,rate_tbl,10,FALSE)</f>
        <v>0.15</v>
      </c>
      <c r="M12" s="6">
        <f t="shared" si="1"/>
        <v>16</v>
      </c>
      <c r="N12" s="15">
        <f t="shared" si="0"/>
        <v>49450</v>
      </c>
      <c r="Q12"/>
    </row>
    <row r="13" spans="1:18" x14ac:dyDescent="0.3">
      <c r="A13" s="17"/>
      <c r="B13" s="61"/>
      <c r="C13" s="61"/>
      <c r="K13" s="6" t="s">
        <v>252</v>
      </c>
      <c r="L13" s="5"/>
      <c r="M13" s="6">
        <v>18</v>
      </c>
      <c r="N13" s="15">
        <f t="shared" si="0"/>
        <v>6000</v>
      </c>
      <c r="Q13"/>
    </row>
    <row r="14" spans="1:18" x14ac:dyDescent="0.3">
      <c r="A14" s="17"/>
      <c r="B14" s="61"/>
      <c r="C14" s="61"/>
      <c r="K14" s="6" t="s">
        <v>253</v>
      </c>
      <c r="L14" s="5"/>
      <c r="M14" s="6">
        <f t="shared" si="1"/>
        <v>19</v>
      </c>
      <c r="N14" s="15">
        <f t="shared" si="0"/>
        <v>75000</v>
      </c>
      <c r="Q14"/>
    </row>
    <row r="15" spans="1:18" x14ac:dyDescent="0.3">
      <c r="A15" s="17"/>
      <c r="B15" s="61"/>
      <c r="C15" s="61"/>
      <c r="K15" s="6" t="s">
        <v>254</v>
      </c>
      <c r="L15" s="5"/>
      <c r="M15" s="6">
        <f t="shared" si="1"/>
        <v>20</v>
      </c>
      <c r="N15" s="15">
        <f t="shared" si="0"/>
        <v>175000</v>
      </c>
      <c r="Q15"/>
    </row>
    <row r="16" spans="1:18" x14ac:dyDescent="0.3">
      <c r="K16" s="6"/>
      <c r="L16" s="5"/>
      <c r="R16" s="3"/>
    </row>
    <row r="17" spans="1:30" x14ac:dyDescent="0.3">
      <c r="E17" s="8" t="s">
        <v>22</v>
      </c>
      <c r="F17" s="9"/>
      <c r="G17" s="9"/>
      <c r="H17" s="9"/>
      <c r="I17" s="9"/>
      <c r="J17" s="10"/>
      <c r="K17" s="28" t="s">
        <v>262</v>
      </c>
      <c r="L17" s="9"/>
      <c r="M17" s="119"/>
      <c r="N17" s="30"/>
      <c r="O17" s="31"/>
      <c r="P17" s="29" t="s">
        <v>29</v>
      </c>
      <c r="Q17" s="30"/>
      <c r="R17" s="30"/>
      <c r="S17" s="30"/>
      <c r="T17" s="30"/>
      <c r="U17" s="30"/>
      <c r="V17" s="31"/>
      <c r="W17" s="8" t="s">
        <v>20</v>
      </c>
      <c r="X17" s="28"/>
      <c r="Y17" s="28"/>
      <c r="Z17" s="9"/>
      <c r="AA17" s="9"/>
      <c r="AB17" s="11"/>
      <c r="AC17" s="12"/>
    </row>
    <row r="18" spans="1:30" s="60" customFormat="1" ht="54" x14ac:dyDescent="0.3">
      <c r="A18" s="58" t="str">
        <f>"Variable ("&amp;C10&amp;")"</f>
        <v>Variable (Non-SS Ordinary Income)</v>
      </c>
      <c r="B18" s="58" t="s">
        <v>4</v>
      </c>
      <c r="C18" s="58" t="s">
        <v>1</v>
      </c>
      <c r="D18" s="58" t="s">
        <v>2</v>
      </c>
      <c r="E18" s="58" t="s">
        <v>7</v>
      </c>
      <c r="F18" s="58" t="s">
        <v>9</v>
      </c>
      <c r="G18" s="58" t="s">
        <v>23</v>
      </c>
      <c r="H18" s="58" t="s">
        <v>24</v>
      </c>
      <c r="I18" s="58" t="s">
        <v>25</v>
      </c>
      <c r="J18" s="58" t="s">
        <v>71</v>
      </c>
      <c r="K18" s="58" t="s">
        <v>257</v>
      </c>
      <c r="L18" s="58" t="s">
        <v>258</v>
      </c>
      <c r="M18" s="58" t="s">
        <v>15</v>
      </c>
      <c r="N18" s="58" t="s">
        <v>16</v>
      </c>
      <c r="O18" s="58" t="s">
        <v>26</v>
      </c>
      <c r="P18" s="58" t="str">
        <f>"Ordi-nary @ "&amp;TEXT(L10,"#0%")</f>
        <v>Ordi-nary @ 32%</v>
      </c>
      <c r="Q18" s="58" t="str">
        <f>"Ordi-nary @ "&amp;TEXT(L9,"#0%")</f>
        <v>Ordi-nary @ 24%</v>
      </c>
      <c r="R18" s="58" t="str">
        <f>"Ordi-nary @ "&amp;TEXT(L8,"#0%")</f>
        <v>Ordi-nary @ 22%</v>
      </c>
      <c r="S18" s="58" t="str">
        <f>"Ordi-nary @ "&amp;TEXT(L7,"#0%")</f>
        <v>Ordi-nary @ 12%</v>
      </c>
      <c r="T18" s="58" t="str">
        <f>"Ordi-nary @ "&amp;TEXT(L6,"#0%")</f>
        <v>Ordi-nary @ 10%</v>
      </c>
      <c r="U18" s="59" t="str">
        <f>"LTCG &amp; QDI @ "&amp;TEXT(L12,"#0%")</f>
        <v>LTCG &amp; QDI @ 15%</v>
      </c>
      <c r="V18" s="59" t="str">
        <f>"LTCG &amp; QDI @ "&amp;TEXT(L11,"#0%")</f>
        <v>LTCG &amp; QDI @ 0%</v>
      </c>
      <c r="W18" s="58" t="str">
        <f>"Ordi-nary @ "&amp;TEXT(L10,"#0%")</f>
        <v>Ordi-nary @ 32%</v>
      </c>
      <c r="X18" s="58" t="str">
        <f>"Ordi-nary @ "&amp;TEXT(L9,"#0%")</f>
        <v>Ordi-nary @ 24%</v>
      </c>
      <c r="Y18" s="58" t="str">
        <f>"Ordi-nary @ "&amp;TEXT(L8,"#0%")</f>
        <v>Ordi-nary @ 22%</v>
      </c>
      <c r="Z18" s="58" t="str">
        <f>"Ordi-nary @ "&amp;TEXT(L7,"#0%")</f>
        <v>Ordi-nary @ 12%</v>
      </c>
      <c r="AA18" s="58" t="str">
        <f>"Ordi-nary @ "&amp;TEXT(L6,"#0%")</f>
        <v>Ordi-nary @ 10%</v>
      </c>
      <c r="AB18" s="59" t="str">
        <f>"LTCG &amp; QDI @ "&amp;TEXT(L12,"#0%")</f>
        <v>LTCG &amp; QDI @ 15%</v>
      </c>
      <c r="AC18" s="59" t="s">
        <v>19</v>
      </c>
      <c r="AD18" s="59" t="s">
        <v>27</v>
      </c>
    </row>
    <row r="19" spans="1:30" x14ac:dyDescent="0.3">
      <c r="A19" s="32">
        <f>B11</f>
        <v>0</v>
      </c>
      <c r="B19" s="33">
        <f t="shared" ref="B19:B82" si="2">IF(B$10=1,A19,B$4)</f>
        <v>0</v>
      </c>
      <c r="C19" s="33">
        <f t="shared" ref="C19:C82" si="3">IF(B$10=2,A19,B$5)</f>
        <v>0</v>
      </c>
      <c r="D19" s="34">
        <f t="shared" ref="D19:D82" si="4">IF(B$10=3,A19,B$6)</f>
        <v>0</v>
      </c>
      <c r="E19" s="32">
        <f t="shared" ref="E19:E82" si="5">IF(B$10=4,A19,B$7)</f>
        <v>36000</v>
      </c>
      <c r="F19" s="33">
        <f>B19+C19+D19+E19/2</f>
        <v>18000</v>
      </c>
      <c r="G19" s="33">
        <f t="shared" ref="G19:G82" si="6">MIN(50%*E19,MAX(0,50%*MIN(N$5-N$4,F19-N$4)))</f>
        <v>0</v>
      </c>
      <c r="H19" s="33">
        <f t="shared" ref="H19:H82" si="7">MIN(85%*E19-G19,85%*MAX(0,F19-N$5))</f>
        <v>0</v>
      </c>
      <c r="I19" s="33">
        <f>G19+H19</f>
        <v>0</v>
      </c>
      <c r="J19" s="42">
        <f t="shared" ref="J19:J50" si="8">(I20-I19)/B$12</f>
        <v>0</v>
      </c>
      <c r="K19" s="33">
        <f>C19+D19+I19</f>
        <v>0</v>
      </c>
      <c r="L19" s="33">
        <f t="shared" ref="L19:L82" si="9">N$2+N$3+IF(N$13=0,0,N$13*B$3*(1-MAX(0,MIN(1,(K19-N$14)/(N$15-N$14)))))</f>
        <v>24150</v>
      </c>
      <c r="M19" s="32">
        <f>MAX(0,K19-L19)</f>
        <v>0</v>
      </c>
      <c r="N19" s="33">
        <f t="shared" ref="N19:N82" si="10">MIN(D19,M19)</f>
        <v>0</v>
      </c>
      <c r="O19" s="34">
        <f>M19-N19</f>
        <v>0</v>
      </c>
      <c r="P19" s="32">
        <f t="shared" ref="P19:P82" si="11">MAX(0,O19-N$10)</f>
        <v>0</v>
      </c>
      <c r="Q19" s="33">
        <f t="shared" ref="Q19:Q82" si="12">MAX(0,O19-N$9)-P19</f>
        <v>0</v>
      </c>
      <c r="R19" s="33">
        <f t="shared" ref="R19:R82" si="13">MAX(0,O19-N$8)-P19-Q19</f>
        <v>0</v>
      </c>
      <c r="S19" s="33">
        <f t="shared" ref="S19:S82" si="14">MAX(0,O19-N$7)-P19-Q19-R19</f>
        <v>0</v>
      </c>
      <c r="T19" s="33">
        <f t="shared" ref="T19:T82" si="15">MAX(0,O19-N$6)-P19-Q19-R19-S19</f>
        <v>0</v>
      </c>
      <c r="U19" s="4">
        <f t="shared" ref="U19:U82" si="16">MAX(0,MIN(N19,M19-N$12))</f>
        <v>0</v>
      </c>
      <c r="V19" s="38">
        <f t="shared" ref="V19:V82" si="17">MAX(0,MIN(N19,M19-N$11))-U19</f>
        <v>0</v>
      </c>
      <c r="W19" s="39">
        <f t="shared" ref="W19:W82" si="18">P19*L$10</f>
        <v>0</v>
      </c>
      <c r="X19" s="4">
        <f t="shared" ref="X19:X82" si="19">Q19*L$9</f>
        <v>0</v>
      </c>
      <c r="Y19" s="4">
        <f t="shared" ref="Y19:Y82" si="20">R19*L$8</f>
        <v>0</v>
      </c>
      <c r="Z19" s="4">
        <f t="shared" ref="Z19:Z82" si="21">S19*L$7</f>
        <v>0</v>
      </c>
      <c r="AA19" s="4">
        <f t="shared" ref="AA19:AA82" si="22">T19*L$6</f>
        <v>0</v>
      </c>
      <c r="AB19" s="4">
        <f t="shared" ref="AB19:AB82" si="23">U19*L$12</f>
        <v>0</v>
      </c>
      <c r="AC19" s="38">
        <f>SUM(W19:AB19)</f>
        <v>0</v>
      </c>
      <c r="AD19" s="40">
        <f t="shared" ref="AD19:AD50" si="24">(AC20-AC19)/B$12</f>
        <v>0</v>
      </c>
    </row>
    <row r="20" spans="1:30" x14ac:dyDescent="0.3">
      <c r="A20" s="32">
        <f t="shared" ref="A20:A51" si="25">A19+B$12</f>
        <v>500</v>
      </c>
      <c r="B20" s="33">
        <f t="shared" si="2"/>
        <v>0</v>
      </c>
      <c r="C20" s="33">
        <f t="shared" si="3"/>
        <v>500</v>
      </c>
      <c r="D20" s="34">
        <f t="shared" si="4"/>
        <v>0</v>
      </c>
      <c r="E20" s="32">
        <f t="shared" si="5"/>
        <v>36000</v>
      </c>
      <c r="F20" s="33">
        <f t="shared" ref="F20:F83" si="26">B20+C20+D20+E20/2</f>
        <v>18500</v>
      </c>
      <c r="G20" s="33">
        <f t="shared" si="6"/>
        <v>0</v>
      </c>
      <c r="H20" s="33">
        <f t="shared" si="7"/>
        <v>0</v>
      </c>
      <c r="I20" s="33">
        <f t="shared" ref="I20:I23" si="27">G20+H20</f>
        <v>0</v>
      </c>
      <c r="J20" s="42">
        <f t="shared" si="8"/>
        <v>0</v>
      </c>
      <c r="K20" s="33">
        <f>C20+D20+I20</f>
        <v>500</v>
      </c>
      <c r="L20" s="33">
        <f t="shared" si="9"/>
        <v>24150</v>
      </c>
      <c r="M20" s="32">
        <f t="shared" ref="M20:M83" si="28">MAX(0,K20-L20)</f>
        <v>0</v>
      </c>
      <c r="N20" s="33">
        <f t="shared" si="10"/>
        <v>0</v>
      </c>
      <c r="O20" s="34">
        <f t="shared" ref="O20:O22" si="29">M20-N20</f>
        <v>0</v>
      </c>
      <c r="P20" s="32">
        <f t="shared" si="11"/>
        <v>0</v>
      </c>
      <c r="Q20" s="33">
        <f t="shared" si="12"/>
        <v>0</v>
      </c>
      <c r="R20" s="33">
        <f t="shared" si="13"/>
        <v>0</v>
      </c>
      <c r="S20" s="33">
        <f t="shared" si="14"/>
        <v>0</v>
      </c>
      <c r="T20" s="33">
        <f t="shared" si="15"/>
        <v>0</v>
      </c>
      <c r="U20" s="4">
        <f t="shared" si="16"/>
        <v>0</v>
      </c>
      <c r="V20" s="38">
        <f t="shared" si="17"/>
        <v>0</v>
      </c>
      <c r="W20" s="39">
        <f t="shared" si="18"/>
        <v>0</v>
      </c>
      <c r="X20" s="4">
        <f t="shared" si="19"/>
        <v>0</v>
      </c>
      <c r="Y20" s="4">
        <f t="shared" si="20"/>
        <v>0</v>
      </c>
      <c r="Z20" s="4">
        <f t="shared" si="21"/>
        <v>0</v>
      </c>
      <c r="AA20" s="4">
        <f t="shared" si="22"/>
        <v>0</v>
      </c>
      <c r="AB20" s="4">
        <f t="shared" si="23"/>
        <v>0</v>
      </c>
      <c r="AC20" s="38">
        <f t="shared" ref="AC20:AC83" si="30">SUM(W20:AB20)</f>
        <v>0</v>
      </c>
      <c r="AD20" s="40">
        <f t="shared" si="24"/>
        <v>0</v>
      </c>
    </row>
    <row r="21" spans="1:30" x14ac:dyDescent="0.3">
      <c r="A21" s="32">
        <f t="shared" si="25"/>
        <v>1000</v>
      </c>
      <c r="B21" s="33">
        <f t="shared" si="2"/>
        <v>0</v>
      </c>
      <c r="C21" s="33">
        <f t="shared" si="3"/>
        <v>1000</v>
      </c>
      <c r="D21" s="34">
        <f t="shared" si="4"/>
        <v>0</v>
      </c>
      <c r="E21" s="32">
        <f t="shared" si="5"/>
        <v>36000</v>
      </c>
      <c r="F21" s="33">
        <f t="shared" si="26"/>
        <v>19000</v>
      </c>
      <c r="G21" s="33">
        <f t="shared" si="6"/>
        <v>0</v>
      </c>
      <c r="H21" s="33">
        <f t="shared" si="7"/>
        <v>0</v>
      </c>
      <c r="I21" s="33">
        <f t="shared" si="27"/>
        <v>0</v>
      </c>
      <c r="J21" s="42">
        <f t="shared" si="8"/>
        <v>0</v>
      </c>
      <c r="K21" s="33">
        <f t="shared" ref="K21:K84" si="31">C21+D21+I21</f>
        <v>1000</v>
      </c>
      <c r="L21" s="33">
        <f t="shared" si="9"/>
        <v>24150</v>
      </c>
      <c r="M21" s="32">
        <f t="shared" si="28"/>
        <v>0</v>
      </c>
      <c r="N21" s="33">
        <f t="shared" si="10"/>
        <v>0</v>
      </c>
      <c r="O21" s="34">
        <f t="shared" si="29"/>
        <v>0</v>
      </c>
      <c r="P21" s="32">
        <f t="shared" si="11"/>
        <v>0</v>
      </c>
      <c r="Q21" s="33">
        <f t="shared" si="12"/>
        <v>0</v>
      </c>
      <c r="R21" s="33">
        <f t="shared" si="13"/>
        <v>0</v>
      </c>
      <c r="S21" s="33">
        <f t="shared" si="14"/>
        <v>0</v>
      </c>
      <c r="T21" s="33">
        <f t="shared" si="15"/>
        <v>0</v>
      </c>
      <c r="U21" s="4">
        <f t="shared" si="16"/>
        <v>0</v>
      </c>
      <c r="V21" s="38">
        <f t="shared" si="17"/>
        <v>0</v>
      </c>
      <c r="W21" s="39">
        <f t="shared" si="18"/>
        <v>0</v>
      </c>
      <c r="X21" s="4">
        <f t="shared" si="19"/>
        <v>0</v>
      </c>
      <c r="Y21" s="4">
        <f t="shared" si="20"/>
        <v>0</v>
      </c>
      <c r="Z21" s="4">
        <f t="shared" si="21"/>
        <v>0</v>
      </c>
      <c r="AA21" s="4">
        <f t="shared" si="22"/>
        <v>0</v>
      </c>
      <c r="AB21" s="4">
        <f t="shared" si="23"/>
        <v>0</v>
      </c>
      <c r="AC21" s="38">
        <f t="shared" si="30"/>
        <v>0</v>
      </c>
      <c r="AD21" s="40">
        <f t="shared" si="24"/>
        <v>0</v>
      </c>
    </row>
    <row r="22" spans="1:30" x14ac:dyDescent="0.3">
      <c r="A22" s="32">
        <f t="shared" si="25"/>
        <v>1500</v>
      </c>
      <c r="B22" s="33">
        <f t="shared" si="2"/>
        <v>0</v>
      </c>
      <c r="C22" s="33">
        <f t="shared" si="3"/>
        <v>1500</v>
      </c>
      <c r="D22" s="34">
        <f t="shared" si="4"/>
        <v>0</v>
      </c>
      <c r="E22" s="32">
        <f t="shared" si="5"/>
        <v>36000</v>
      </c>
      <c r="F22" s="33">
        <f t="shared" si="26"/>
        <v>19500</v>
      </c>
      <c r="G22" s="33">
        <f t="shared" si="6"/>
        <v>0</v>
      </c>
      <c r="H22" s="33">
        <f t="shared" si="7"/>
        <v>0</v>
      </c>
      <c r="I22" s="33">
        <f t="shared" si="27"/>
        <v>0</v>
      </c>
      <c r="J22" s="42">
        <f t="shared" si="8"/>
        <v>0</v>
      </c>
      <c r="K22" s="33">
        <f t="shared" si="31"/>
        <v>1500</v>
      </c>
      <c r="L22" s="33">
        <f t="shared" si="9"/>
        <v>24150</v>
      </c>
      <c r="M22" s="32">
        <f t="shared" si="28"/>
        <v>0</v>
      </c>
      <c r="N22" s="33">
        <f t="shared" si="10"/>
        <v>0</v>
      </c>
      <c r="O22" s="34">
        <f t="shared" si="29"/>
        <v>0</v>
      </c>
      <c r="P22" s="32">
        <f t="shared" si="11"/>
        <v>0</v>
      </c>
      <c r="Q22" s="33">
        <f t="shared" si="12"/>
        <v>0</v>
      </c>
      <c r="R22" s="33">
        <f t="shared" si="13"/>
        <v>0</v>
      </c>
      <c r="S22" s="33">
        <f t="shared" si="14"/>
        <v>0</v>
      </c>
      <c r="T22" s="33">
        <f t="shared" si="15"/>
        <v>0</v>
      </c>
      <c r="U22" s="4">
        <f t="shared" si="16"/>
        <v>0</v>
      </c>
      <c r="V22" s="38">
        <f t="shared" si="17"/>
        <v>0</v>
      </c>
      <c r="W22" s="39">
        <f t="shared" si="18"/>
        <v>0</v>
      </c>
      <c r="X22" s="4">
        <f t="shared" si="19"/>
        <v>0</v>
      </c>
      <c r="Y22" s="4">
        <f t="shared" si="20"/>
        <v>0</v>
      </c>
      <c r="Z22" s="4">
        <f t="shared" si="21"/>
        <v>0</v>
      </c>
      <c r="AA22" s="4">
        <f t="shared" si="22"/>
        <v>0</v>
      </c>
      <c r="AB22" s="4">
        <f t="shared" si="23"/>
        <v>0</v>
      </c>
      <c r="AC22" s="38">
        <f t="shared" si="30"/>
        <v>0</v>
      </c>
      <c r="AD22" s="40">
        <f t="shared" si="24"/>
        <v>0</v>
      </c>
    </row>
    <row r="23" spans="1:30" x14ac:dyDescent="0.3">
      <c r="A23" s="32">
        <f t="shared" si="25"/>
        <v>2000</v>
      </c>
      <c r="B23" s="33">
        <f t="shared" si="2"/>
        <v>0</v>
      </c>
      <c r="C23" s="33">
        <f t="shared" si="3"/>
        <v>2000</v>
      </c>
      <c r="D23" s="34">
        <f t="shared" si="4"/>
        <v>0</v>
      </c>
      <c r="E23" s="32">
        <f t="shared" si="5"/>
        <v>36000</v>
      </c>
      <c r="F23" s="33">
        <f t="shared" si="26"/>
        <v>20000</v>
      </c>
      <c r="G23" s="33">
        <f t="shared" si="6"/>
        <v>0</v>
      </c>
      <c r="H23" s="33">
        <f t="shared" si="7"/>
        <v>0</v>
      </c>
      <c r="I23" s="33">
        <f t="shared" si="27"/>
        <v>0</v>
      </c>
      <c r="J23" s="42">
        <f t="shared" si="8"/>
        <v>0</v>
      </c>
      <c r="K23" s="33">
        <f t="shared" si="31"/>
        <v>2000</v>
      </c>
      <c r="L23" s="33">
        <f t="shared" si="9"/>
        <v>24150</v>
      </c>
      <c r="M23" s="32">
        <f t="shared" si="28"/>
        <v>0</v>
      </c>
      <c r="N23" s="33">
        <f t="shared" si="10"/>
        <v>0</v>
      </c>
      <c r="O23" s="34">
        <f t="shared" ref="O23:O86" si="32">M23-N23</f>
        <v>0</v>
      </c>
      <c r="P23" s="32">
        <f t="shared" si="11"/>
        <v>0</v>
      </c>
      <c r="Q23" s="33">
        <f t="shared" si="12"/>
        <v>0</v>
      </c>
      <c r="R23" s="33">
        <f t="shared" si="13"/>
        <v>0</v>
      </c>
      <c r="S23" s="33">
        <f t="shared" si="14"/>
        <v>0</v>
      </c>
      <c r="T23" s="33">
        <f t="shared" si="15"/>
        <v>0</v>
      </c>
      <c r="U23" s="4">
        <f t="shared" si="16"/>
        <v>0</v>
      </c>
      <c r="V23" s="38">
        <f t="shared" si="17"/>
        <v>0</v>
      </c>
      <c r="W23" s="39">
        <f t="shared" si="18"/>
        <v>0</v>
      </c>
      <c r="X23" s="4">
        <f t="shared" si="19"/>
        <v>0</v>
      </c>
      <c r="Y23" s="4">
        <f t="shared" si="20"/>
        <v>0</v>
      </c>
      <c r="Z23" s="4">
        <f t="shared" si="21"/>
        <v>0</v>
      </c>
      <c r="AA23" s="4">
        <f t="shared" si="22"/>
        <v>0</v>
      </c>
      <c r="AB23" s="4">
        <f t="shared" si="23"/>
        <v>0</v>
      </c>
      <c r="AC23" s="38">
        <f t="shared" si="30"/>
        <v>0</v>
      </c>
      <c r="AD23" s="40">
        <f t="shared" si="24"/>
        <v>0</v>
      </c>
    </row>
    <row r="24" spans="1:30" x14ac:dyDescent="0.3">
      <c r="A24" s="32">
        <f t="shared" si="25"/>
        <v>2500</v>
      </c>
      <c r="B24" s="33">
        <f t="shared" si="2"/>
        <v>0</v>
      </c>
      <c r="C24" s="33">
        <f t="shared" si="3"/>
        <v>2500</v>
      </c>
      <c r="D24" s="34">
        <f t="shared" si="4"/>
        <v>0</v>
      </c>
      <c r="E24" s="32">
        <f t="shared" si="5"/>
        <v>36000</v>
      </c>
      <c r="F24" s="33">
        <f t="shared" si="26"/>
        <v>20500</v>
      </c>
      <c r="G24" s="33">
        <f t="shared" si="6"/>
        <v>0</v>
      </c>
      <c r="H24" s="33">
        <f t="shared" si="7"/>
        <v>0</v>
      </c>
      <c r="I24" s="33">
        <f t="shared" ref="I24:I87" si="33">G24+H24</f>
        <v>0</v>
      </c>
      <c r="J24" s="42">
        <f t="shared" si="8"/>
        <v>0</v>
      </c>
      <c r="K24" s="33">
        <f t="shared" si="31"/>
        <v>2500</v>
      </c>
      <c r="L24" s="33">
        <f t="shared" si="9"/>
        <v>24150</v>
      </c>
      <c r="M24" s="32">
        <f t="shared" si="28"/>
        <v>0</v>
      </c>
      <c r="N24" s="33">
        <f t="shared" si="10"/>
        <v>0</v>
      </c>
      <c r="O24" s="34">
        <f t="shared" si="32"/>
        <v>0</v>
      </c>
      <c r="P24" s="32">
        <f t="shared" si="11"/>
        <v>0</v>
      </c>
      <c r="Q24" s="33">
        <f t="shared" si="12"/>
        <v>0</v>
      </c>
      <c r="R24" s="33">
        <f t="shared" si="13"/>
        <v>0</v>
      </c>
      <c r="S24" s="33">
        <f t="shared" si="14"/>
        <v>0</v>
      </c>
      <c r="T24" s="33">
        <f t="shared" si="15"/>
        <v>0</v>
      </c>
      <c r="U24" s="4">
        <f t="shared" si="16"/>
        <v>0</v>
      </c>
      <c r="V24" s="38">
        <f t="shared" si="17"/>
        <v>0</v>
      </c>
      <c r="W24" s="39">
        <f t="shared" si="18"/>
        <v>0</v>
      </c>
      <c r="X24" s="4">
        <f t="shared" si="19"/>
        <v>0</v>
      </c>
      <c r="Y24" s="4">
        <f t="shared" si="20"/>
        <v>0</v>
      </c>
      <c r="Z24" s="4">
        <f t="shared" si="21"/>
        <v>0</v>
      </c>
      <c r="AA24" s="4">
        <f t="shared" si="22"/>
        <v>0</v>
      </c>
      <c r="AB24" s="4">
        <f t="shared" si="23"/>
        <v>0</v>
      </c>
      <c r="AC24" s="38">
        <f t="shared" si="30"/>
        <v>0</v>
      </c>
      <c r="AD24" s="40">
        <f t="shared" si="24"/>
        <v>0</v>
      </c>
    </row>
    <row r="25" spans="1:30" x14ac:dyDescent="0.3">
      <c r="A25" s="32">
        <f t="shared" si="25"/>
        <v>3000</v>
      </c>
      <c r="B25" s="33">
        <f t="shared" si="2"/>
        <v>0</v>
      </c>
      <c r="C25" s="33">
        <f t="shared" si="3"/>
        <v>3000</v>
      </c>
      <c r="D25" s="34">
        <f t="shared" si="4"/>
        <v>0</v>
      </c>
      <c r="E25" s="32">
        <f t="shared" si="5"/>
        <v>36000</v>
      </c>
      <c r="F25" s="33">
        <f t="shared" si="26"/>
        <v>21000</v>
      </c>
      <c r="G25" s="33">
        <f t="shared" si="6"/>
        <v>0</v>
      </c>
      <c r="H25" s="33">
        <f t="shared" si="7"/>
        <v>0</v>
      </c>
      <c r="I25" s="33">
        <f t="shared" si="33"/>
        <v>0</v>
      </c>
      <c r="J25" s="42">
        <f t="shared" si="8"/>
        <v>0</v>
      </c>
      <c r="K25" s="33">
        <f t="shared" si="31"/>
        <v>3000</v>
      </c>
      <c r="L25" s="33">
        <f t="shared" si="9"/>
        <v>24150</v>
      </c>
      <c r="M25" s="32">
        <f t="shared" si="28"/>
        <v>0</v>
      </c>
      <c r="N25" s="33">
        <f t="shared" si="10"/>
        <v>0</v>
      </c>
      <c r="O25" s="34">
        <f t="shared" si="32"/>
        <v>0</v>
      </c>
      <c r="P25" s="32">
        <f t="shared" si="11"/>
        <v>0</v>
      </c>
      <c r="Q25" s="33">
        <f t="shared" si="12"/>
        <v>0</v>
      </c>
      <c r="R25" s="33">
        <f t="shared" si="13"/>
        <v>0</v>
      </c>
      <c r="S25" s="33">
        <f t="shared" si="14"/>
        <v>0</v>
      </c>
      <c r="T25" s="33">
        <f t="shared" si="15"/>
        <v>0</v>
      </c>
      <c r="U25" s="4">
        <f t="shared" si="16"/>
        <v>0</v>
      </c>
      <c r="V25" s="38">
        <f t="shared" si="17"/>
        <v>0</v>
      </c>
      <c r="W25" s="39">
        <f t="shared" si="18"/>
        <v>0</v>
      </c>
      <c r="X25" s="4">
        <f t="shared" si="19"/>
        <v>0</v>
      </c>
      <c r="Y25" s="4">
        <f t="shared" si="20"/>
        <v>0</v>
      </c>
      <c r="Z25" s="4">
        <f t="shared" si="21"/>
        <v>0</v>
      </c>
      <c r="AA25" s="4">
        <f t="shared" si="22"/>
        <v>0</v>
      </c>
      <c r="AB25" s="4">
        <f t="shared" si="23"/>
        <v>0</v>
      </c>
      <c r="AC25" s="38">
        <f t="shared" si="30"/>
        <v>0</v>
      </c>
      <c r="AD25" s="40">
        <f t="shared" si="24"/>
        <v>0</v>
      </c>
    </row>
    <row r="26" spans="1:30" x14ac:dyDescent="0.3">
      <c r="A26" s="32">
        <f t="shared" si="25"/>
        <v>3500</v>
      </c>
      <c r="B26" s="33">
        <f t="shared" si="2"/>
        <v>0</v>
      </c>
      <c r="C26" s="33">
        <f t="shared" si="3"/>
        <v>3500</v>
      </c>
      <c r="D26" s="34">
        <f t="shared" si="4"/>
        <v>0</v>
      </c>
      <c r="E26" s="32">
        <f t="shared" si="5"/>
        <v>36000</v>
      </c>
      <c r="F26" s="33">
        <f t="shared" si="26"/>
        <v>21500</v>
      </c>
      <c r="G26" s="33">
        <f t="shared" si="6"/>
        <v>0</v>
      </c>
      <c r="H26" s="33">
        <f t="shared" si="7"/>
        <v>0</v>
      </c>
      <c r="I26" s="33">
        <f t="shared" si="33"/>
        <v>0</v>
      </c>
      <c r="J26" s="42">
        <f t="shared" si="8"/>
        <v>0</v>
      </c>
      <c r="K26" s="33">
        <f t="shared" si="31"/>
        <v>3500</v>
      </c>
      <c r="L26" s="33">
        <f t="shared" si="9"/>
        <v>24150</v>
      </c>
      <c r="M26" s="32">
        <f t="shared" si="28"/>
        <v>0</v>
      </c>
      <c r="N26" s="33">
        <f t="shared" si="10"/>
        <v>0</v>
      </c>
      <c r="O26" s="34">
        <f t="shared" si="32"/>
        <v>0</v>
      </c>
      <c r="P26" s="32">
        <f t="shared" si="11"/>
        <v>0</v>
      </c>
      <c r="Q26" s="33">
        <f t="shared" si="12"/>
        <v>0</v>
      </c>
      <c r="R26" s="33">
        <f t="shared" si="13"/>
        <v>0</v>
      </c>
      <c r="S26" s="33">
        <f t="shared" si="14"/>
        <v>0</v>
      </c>
      <c r="T26" s="33">
        <f t="shared" si="15"/>
        <v>0</v>
      </c>
      <c r="U26" s="4">
        <f t="shared" si="16"/>
        <v>0</v>
      </c>
      <c r="V26" s="38">
        <f t="shared" si="17"/>
        <v>0</v>
      </c>
      <c r="W26" s="39">
        <f t="shared" si="18"/>
        <v>0</v>
      </c>
      <c r="X26" s="4">
        <f t="shared" si="19"/>
        <v>0</v>
      </c>
      <c r="Y26" s="4">
        <f t="shared" si="20"/>
        <v>0</v>
      </c>
      <c r="Z26" s="4">
        <f t="shared" si="21"/>
        <v>0</v>
      </c>
      <c r="AA26" s="4">
        <f t="shared" si="22"/>
        <v>0</v>
      </c>
      <c r="AB26" s="4">
        <f t="shared" si="23"/>
        <v>0</v>
      </c>
      <c r="AC26" s="38">
        <f t="shared" si="30"/>
        <v>0</v>
      </c>
      <c r="AD26" s="40">
        <f t="shared" si="24"/>
        <v>0</v>
      </c>
    </row>
    <row r="27" spans="1:30" x14ac:dyDescent="0.3">
      <c r="A27" s="32">
        <f t="shared" si="25"/>
        <v>4000</v>
      </c>
      <c r="B27" s="33">
        <f t="shared" si="2"/>
        <v>0</v>
      </c>
      <c r="C27" s="33">
        <f t="shared" si="3"/>
        <v>4000</v>
      </c>
      <c r="D27" s="34">
        <f t="shared" si="4"/>
        <v>0</v>
      </c>
      <c r="E27" s="32">
        <f t="shared" si="5"/>
        <v>36000</v>
      </c>
      <c r="F27" s="33">
        <f t="shared" si="26"/>
        <v>22000</v>
      </c>
      <c r="G27" s="33">
        <f t="shared" si="6"/>
        <v>0</v>
      </c>
      <c r="H27" s="33">
        <f t="shared" si="7"/>
        <v>0</v>
      </c>
      <c r="I27" s="33">
        <f t="shared" si="33"/>
        <v>0</v>
      </c>
      <c r="J27" s="42">
        <f t="shared" si="8"/>
        <v>0</v>
      </c>
      <c r="K27" s="33">
        <f t="shared" si="31"/>
        <v>4000</v>
      </c>
      <c r="L27" s="33">
        <f t="shared" si="9"/>
        <v>24150</v>
      </c>
      <c r="M27" s="32">
        <f t="shared" si="28"/>
        <v>0</v>
      </c>
      <c r="N27" s="33">
        <f t="shared" si="10"/>
        <v>0</v>
      </c>
      <c r="O27" s="34">
        <f t="shared" si="32"/>
        <v>0</v>
      </c>
      <c r="P27" s="32">
        <f t="shared" si="11"/>
        <v>0</v>
      </c>
      <c r="Q27" s="33">
        <f t="shared" si="12"/>
        <v>0</v>
      </c>
      <c r="R27" s="33">
        <f t="shared" si="13"/>
        <v>0</v>
      </c>
      <c r="S27" s="33">
        <f t="shared" si="14"/>
        <v>0</v>
      </c>
      <c r="T27" s="33">
        <f t="shared" si="15"/>
        <v>0</v>
      </c>
      <c r="U27" s="4">
        <f t="shared" si="16"/>
        <v>0</v>
      </c>
      <c r="V27" s="38">
        <f t="shared" si="17"/>
        <v>0</v>
      </c>
      <c r="W27" s="39">
        <f t="shared" si="18"/>
        <v>0</v>
      </c>
      <c r="X27" s="4">
        <f t="shared" si="19"/>
        <v>0</v>
      </c>
      <c r="Y27" s="4">
        <f t="shared" si="20"/>
        <v>0</v>
      </c>
      <c r="Z27" s="4">
        <f t="shared" si="21"/>
        <v>0</v>
      </c>
      <c r="AA27" s="4">
        <f t="shared" si="22"/>
        <v>0</v>
      </c>
      <c r="AB27" s="4">
        <f t="shared" si="23"/>
        <v>0</v>
      </c>
      <c r="AC27" s="38">
        <f t="shared" si="30"/>
        <v>0</v>
      </c>
      <c r="AD27" s="40">
        <f t="shared" si="24"/>
        <v>0</v>
      </c>
    </row>
    <row r="28" spans="1:30" x14ac:dyDescent="0.3">
      <c r="A28" s="32">
        <f t="shared" si="25"/>
        <v>4500</v>
      </c>
      <c r="B28" s="33">
        <f t="shared" si="2"/>
        <v>0</v>
      </c>
      <c r="C28" s="33">
        <f t="shared" si="3"/>
        <v>4500</v>
      </c>
      <c r="D28" s="34">
        <f t="shared" si="4"/>
        <v>0</v>
      </c>
      <c r="E28" s="32">
        <f t="shared" si="5"/>
        <v>36000</v>
      </c>
      <c r="F28" s="33">
        <f t="shared" si="26"/>
        <v>22500</v>
      </c>
      <c r="G28" s="33">
        <f t="shared" si="6"/>
        <v>0</v>
      </c>
      <c r="H28" s="33">
        <f t="shared" si="7"/>
        <v>0</v>
      </c>
      <c r="I28" s="33">
        <f t="shared" si="33"/>
        <v>0</v>
      </c>
      <c r="J28" s="42">
        <f t="shared" si="8"/>
        <v>0</v>
      </c>
      <c r="K28" s="33">
        <f t="shared" si="31"/>
        <v>4500</v>
      </c>
      <c r="L28" s="33">
        <f t="shared" si="9"/>
        <v>24150</v>
      </c>
      <c r="M28" s="32">
        <f t="shared" si="28"/>
        <v>0</v>
      </c>
      <c r="N28" s="33">
        <f t="shared" si="10"/>
        <v>0</v>
      </c>
      <c r="O28" s="34">
        <f t="shared" si="32"/>
        <v>0</v>
      </c>
      <c r="P28" s="32">
        <f t="shared" si="11"/>
        <v>0</v>
      </c>
      <c r="Q28" s="33">
        <f t="shared" si="12"/>
        <v>0</v>
      </c>
      <c r="R28" s="33">
        <f t="shared" si="13"/>
        <v>0</v>
      </c>
      <c r="S28" s="33">
        <f t="shared" si="14"/>
        <v>0</v>
      </c>
      <c r="T28" s="33">
        <f t="shared" si="15"/>
        <v>0</v>
      </c>
      <c r="U28" s="4">
        <f t="shared" si="16"/>
        <v>0</v>
      </c>
      <c r="V28" s="38">
        <f t="shared" si="17"/>
        <v>0</v>
      </c>
      <c r="W28" s="39">
        <f t="shared" si="18"/>
        <v>0</v>
      </c>
      <c r="X28" s="4">
        <f t="shared" si="19"/>
        <v>0</v>
      </c>
      <c r="Y28" s="4">
        <f t="shared" si="20"/>
        <v>0</v>
      </c>
      <c r="Z28" s="4">
        <f t="shared" si="21"/>
        <v>0</v>
      </c>
      <c r="AA28" s="4">
        <f t="shared" si="22"/>
        <v>0</v>
      </c>
      <c r="AB28" s="4">
        <f t="shared" si="23"/>
        <v>0</v>
      </c>
      <c r="AC28" s="38">
        <f t="shared" si="30"/>
        <v>0</v>
      </c>
      <c r="AD28" s="40">
        <f t="shared" si="24"/>
        <v>0</v>
      </c>
    </row>
    <row r="29" spans="1:30" x14ac:dyDescent="0.3">
      <c r="A29" s="32">
        <f t="shared" si="25"/>
        <v>5000</v>
      </c>
      <c r="B29" s="33">
        <f t="shared" si="2"/>
        <v>0</v>
      </c>
      <c r="C29" s="33">
        <f t="shared" si="3"/>
        <v>5000</v>
      </c>
      <c r="D29" s="34">
        <f t="shared" si="4"/>
        <v>0</v>
      </c>
      <c r="E29" s="32">
        <f t="shared" si="5"/>
        <v>36000</v>
      </c>
      <c r="F29" s="33">
        <f t="shared" si="26"/>
        <v>23000</v>
      </c>
      <c r="G29" s="33">
        <f t="shared" si="6"/>
        <v>0</v>
      </c>
      <c r="H29" s="33">
        <f t="shared" si="7"/>
        <v>0</v>
      </c>
      <c r="I29" s="33">
        <f t="shared" si="33"/>
        <v>0</v>
      </c>
      <c r="J29" s="42">
        <f t="shared" si="8"/>
        <v>0</v>
      </c>
      <c r="K29" s="33">
        <f t="shared" si="31"/>
        <v>5000</v>
      </c>
      <c r="L29" s="33">
        <f t="shared" si="9"/>
        <v>24150</v>
      </c>
      <c r="M29" s="32">
        <f t="shared" si="28"/>
        <v>0</v>
      </c>
      <c r="N29" s="33">
        <f t="shared" si="10"/>
        <v>0</v>
      </c>
      <c r="O29" s="34">
        <f t="shared" si="32"/>
        <v>0</v>
      </c>
      <c r="P29" s="32">
        <f t="shared" si="11"/>
        <v>0</v>
      </c>
      <c r="Q29" s="33">
        <f t="shared" si="12"/>
        <v>0</v>
      </c>
      <c r="R29" s="33">
        <f t="shared" si="13"/>
        <v>0</v>
      </c>
      <c r="S29" s="33">
        <f t="shared" si="14"/>
        <v>0</v>
      </c>
      <c r="T29" s="33">
        <f t="shared" si="15"/>
        <v>0</v>
      </c>
      <c r="U29" s="4">
        <f t="shared" si="16"/>
        <v>0</v>
      </c>
      <c r="V29" s="38">
        <f t="shared" si="17"/>
        <v>0</v>
      </c>
      <c r="W29" s="39">
        <f t="shared" si="18"/>
        <v>0</v>
      </c>
      <c r="X29" s="4">
        <f t="shared" si="19"/>
        <v>0</v>
      </c>
      <c r="Y29" s="4">
        <f t="shared" si="20"/>
        <v>0</v>
      </c>
      <c r="Z29" s="4">
        <f t="shared" si="21"/>
        <v>0</v>
      </c>
      <c r="AA29" s="4">
        <f t="shared" si="22"/>
        <v>0</v>
      </c>
      <c r="AB29" s="4">
        <f t="shared" si="23"/>
        <v>0</v>
      </c>
      <c r="AC29" s="38">
        <f t="shared" si="30"/>
        <v>0</v>
      </c>
      <c r="AD29" s="40">
        <f t="shared" si="24"/>
        <v>0</v>
      </c>
    </row>
    <row r="30" spans="1:30" x14ac:dyDescent="0.3">
      <c r="A30" s="32">
        <f t="shared" si="25"/>
        <v>5500</v>
      </c>
      <c r="B30" s="33">
        <f t="shared" si="2"/>
        <v>0</v>
      </c>
      <c r="C30" s="33">
        <f t="shared" si="3"/>
        <v>5500</v>
      </c>
      <c r="D30" s="34">
        <f t="shared" si="4"/>
        <v>0</v>
      </c>
      <c r="E30" s="32">
        <f t="shared" si="5"/>
        <v>36000</v>
      </c>
      <c r="F30" s="33">
        <f t="shared" si="26"/>
        <v>23500</v>
      </c>
      <c r="G30" s="33">
        <f t="shared" si="6"/>
        <v>0</v>
      </c>
      <c r="H30" s="33">
        <f t="shared" si="7"/>
        <v>0</v>
      </c>
      <c r="I30" s="33">
        <f t="shared" si="33"/>
        <v>0</v>
      </c>
      <c r="J30" s="42">
        <f t="shared" si="8"/>
        <v>0</v>
      </c>
      <c r="K30" s="33">
        <f t="shared" si="31"/>
        <v>5500</v>
      </c>
      <c r="L30" s="33">
        <f t="shared" si="9"/>
        <v>24150</v>
      </c>
      <c r="M30" s="32">
        <f t="shared" si="28"/>
        <v>0</v>
      </c>
      <c r="N30" s="33">
        <f t="shared" si="10"/>
        <v>0</v>
      </c>
      <c r="O30" s="34">
        <f t="shared" si="32"/>
        <v>0</v>
      </c>
      <c r="P30" s="32">
        <f t="shared" si="11"/>
        <v>0</v>
      </c>
      <c r="Q30" s="33">
        <f t="shared" si="12"/>
        <v>0</v>
      </c>
      <c r="R30" s="33">
        <f t="shared" si="13"/>
        <v>0</v>
      </c>
      <c r="S30" s="33">
        <f t="shared" si="14"/>
        <v>0</v>
      </c>
      <c r="T30" s="33">
        <f t="shared" si="15"/>
        <v>0</v>
      </c>
      <c r="U30" s="4">
        <f t="shared" si="16"/>
        <v>0</v>
      </c>
      <c r="V30" s="38">
        <f t="shared" si="17"/>
        <v>0</v>
      </c>
      <c r="W30" s="39">
        <f t="shared" si="18"/>
        <v>0</v>
      </c>
      <c r="X30" s="4">
        <f t="shared" si="19"/>
        <v>0</v>
      </c>
      <c r="Y30" s="4">
        <f t="shared" si="20"/>
        <v>0</v>
      </c>
      <c r="Z30" s="4">
        <f t="shared" si="21"/>
        <v>0</v>
      </c>
      <c r="AA30" s="4">
        <f t="shared" si="22"/>
        <v>0</v>
      </c>
      <c r="AB30" s="4">
        <f t="shared" si="23"/>
        <v>0</v>
      </c>
      <c r="AC30" s="38">
        <f t="shared" si="30"/>
        <v>0</v>
      </c>
      <c r="AD30" s="40">
        <f t="shared" si="24"/>
        <v>0</v>
      </c>
    </row>
    <row r="31" spans="1:30" x14ac:dyDescent="0.3">
      <c r="A31" s="32">
        <f t="shared" si="25"/>
        <v>6000</v>
      </c>
      <c r="B31" s="33">
        <f t="shared" si="2"/>
        <v>0</v>
      </c>
      <c r="C31" s="33">
        <f t="shared" si="3"/>
        <v>6000</v>
      </c>
      <c r="D31" s="34">
        <f t="shared" si="4"/>
        <v>0</v>
      </c>
      <c r="E31" s="32">
        <f t="shared" si="5"/>
        <v>36000</v>
      </c>
      <c r="F31" s="33">
        <f t="shared" si="26"/>
        <v>24000</v>
      </c>
      <c r="G31" s="33">
        <f t="shared" si="6"/>
        <v>0</v>
      </c>
      <c r="H31" s="33">
        <f t="shared" si="7"/>
        <v>0</v>
      </c>
      <c r="I31" s="33">
        <f t="shared" si="33"/>
        <v>0</v>
      </c>
      <c r="J31" s="42">
        <f t="shared" si="8"/>
        <v>0</v>
      </c>
      <c r="K31" s="33">
        <f t="shared" si="31"/>
        <v>6000</v>
      </c>
      <c r="L31" s="33">
        <f t="shared" si="9"/>
        <v>24150</v>
      </c>
      <c r="M31" s="32">
        <f t="shared" si="28"/>
        <v>0</v>
      </c>
      <c r="N31" s="33">
        <f t="shared" si="10"/>
        <v>0</v>
      </c>
      <c r="O31" s="34">
        <f t="shared" si="32"/>
        <v>0</v>
      </c>
      <c r="P31" s="32">
        <f t="shared" si="11"/>
        <v>0</v>
      </c>
      <c r="Q31" s="33">
        <f t="shared" si="12"/>
        <v>0</v>
      </c>
      <c r="R31" s="33">
        <f t="shared" si="13"/>
        <v>0</v>
      </c>
      <c r="S31" s="33">
        <f t="shared" si="14"/>
        <v>0</v>
      </c>
      <c r="T31" s="33">
        <f t="shared" si="15"/>
        <v>0</v>
      </c>
      <c r="U31" s="4">
        <f t="shared" si="16"/>
        <v>0</v>
      </c>
      <c r="V31" s="38">
        <f t="shared" si="17"/>
        <v>0</v>
      </c>
      <c r="W31" s="39">
        <f t="shared" si="18"/>
        <v>0</v>
      </c>
      <c r="X31" s="4">
        <f t="shared" si="19"/>
        <v>0</v>
      </c>
      <c r="Y31" s="4">
        <f t="shared" si="20"/>
        <v>0</v>
      </c>
      <c r="Z31" s="4">
        <f t="shared" si="21"/>
        <v>0</v>
      </c>
      <c r="AA31" s="4">
        <f t="shared" si="22"/>
        <v>0</v>
      </c>
      <c r="AB31" s="4">
        <f t="shared" si="23"/>
        <v>0</v>
      </c>
      <c r="AC31" s="38">
        <f t="shared" si="30"/>
        <v>0</v>
      </c>
      <c r="AD31" s="40">
        <f t="shared" si="24"/>
        <v>0</v>
      </c>
    </row>
    <row r="32" spans="1:30" x14ac:dyDescent="0.3">
      <c r="A32" s="32">
        <f t="shared" si="25"/>
        <v>6500</v>
      </c>
      <c r="B32" s="33">
        <f t="shared" si="2"/>
        <v>0</v>
      </c>
      <c r="C32" s="33">
        <f t="shared" si="3"/>
        <v>6500</v>
      </c>
      <c r="D32" s="34">
        <f t="shared" si="4"/>
        <v>0</v>
      </c>
      <c r="E32" s="32">
        <f t="shared" si="5"/>
        <v>36000</v>
      </c>
      <c r="F32" s="33">
        <f t="shared" si="26"/>
        <v>24500</v>
      </c>
      <c r="G32" s="33">
        <f t="shared" si="6"/>
        <v>0</v>
      </c>
      <c r="H32" s="33">
        <f t="shared" si="7"/>
        <v>0</v>
      </c>
      <c r="I32" s="33">
        <f t="shared" si="33"/>
        <v>0</v>
      </c>
      <c r="J32" s="42">
        <f t="shared" si="8"/>
        <v>0</v>
      </c>
      <c r="K32" s="33">
        <f t="shared" si="31"/>
        <v>6500</v>
      </c>
      <c r="L32" s="33">
        <f t="shared" si="9"/>
        <v>24150</v>
      </c>
      <c r="M32" s="32">
        <f t="shared" si="28"/>
        <v>0</v>
      </c>
      <c r="N32" s="33">
        <f t="shared" si="10"/>
        <v>0</v>
      </c>
      <c r="O32" s="34">
        <f t="shared" si="32"/>
        <v>0</v>
      </c>
      <c r="P32" s="32">
        <f t="shared" si="11"/>
        <v>0</v>
      </c>
      <c r="Q32" s="33">
        <f t="shared" si="12"/>
        <v>0</v>
      </c>
      <c r="R32" s="33">
        <f t="shared" si="13"/>
        <v>0</v>
      </c>
      <c r="S32" s="33">
        <f t="shared" si="14"/>
        <v>0</v>
      </c>
      <c r="T32" s="33">
        <f t="shared" si="15"/>
        <v>0</v>
      </c>
      <c r="U32" s="4">
        <f t="shared" si="16"/>
        <v>0</v>
      </c>
      <c r="V32" s="38">
        <f t="shared" si="17"/>
        <v>0</v>
      </c>
      <c r="W32" s="39">
        <f t="shared" si="18"/>
        <v>0</v>
      </c>
      <c r="X32" s="4">
        <f t="shared" si="19"/>
        <v>0</v>
      </c>
      <c r="Y32" s="4">
        <f t="shared" si="20"/>
        <v>0</v>
      </c>
      <c r="Z32" s="4">
        <f t="shared" si="21"/>
        <v>0</v>
      </c>
      <c r="AA32" s="4">
        <f t="shared" si="22"/>
        <v>0</v>
      </c>
      <c r="AB32" s="4">
        <f t="shared" si="23"/>
        <v>0</v>
      </c>
      <c r="AC32" s="38">
        <f t="shared" si="30"/>
        <v>0</v>
      </c>
      <c r="AD32" s="40">
        <f t="shared" si="24"/>
        <v>0</v>
      </c>
    </row>
    <row r="33" spans="1:30" x14ac:dyDescent="0.3">
      <c r="A33" s="32">
        <f t="shared" si="25"/>
        <v>7000</v>
      </c>
      <c r="B33" s="33">
        <f t="shared" si="2"/>
        <v>0</v>
      </c>
      <c r="C33" s="33">
        <f t="shared" si="3"/>
        <v>7000</v>
      </c>
      <c r="D33" s="34">
        <f t="shared" si="4"/>
        <v>0</v>
      </c>
      <c r="E33" s="32">
        <f t="shared" si="5"/>
        <v>36000</v>
      </c>
      <c r="F33" s="33">
        <f t="shared" si="26"/>
        <v>25000</v>
      </c>
      <c r="G33" s="33">
        <f t="shared" si="6"/>
        <v>0</v>
      </c>
      <c r="H33" s="33">
        <f t="shared" si="7"/>
        <v>0</v>
      </c>
      <c r="I33" s="33">
        <f t="shared" si="33"/>
        <v>0</v>
      </c>
      <c r="J33" s="42">
        <f t="shared" si="8"/>
        <v>0.5</v>
      </c>
      <c r="K33" s="33">
        <f t="shared" si="31"/>
        <v>7000</v>
      </c>
      <c r="L33" s="33">
        <f t="shared" si="9"/>
        <v>24150</v>
      </c>
      <c r="M33" s="32">
        <f t="shared" si="28"/>
        <v>0</v>
      </c>
      <c r="N33" s="33">
        <f t="shared" si="10"/>
        <v>0</v>
      </c>
      <c r="O33" s="34">
        <f t="shared" si="32"/>
        <v>0</v>
      </c>
      <c r="P33" s="32">
        <f t="shared" si="11"/>
        <v>0</v>
      </c>
      <c r="Q33" s="33">
        <f t="shared" si="12"/>
        <v>0</v>
      </c>
      <c r="R33" s="33">
        <f t="shared" si="13"/>
        <v>0</v>
      </c>
      <c r="S33" s="33">
        <f t="shared" si="14"/>
        <v>0</v>
      </c>
      <c r="T33" s="33">
        <f t="shared" si="15"/>
        <v>0</v>
      </c>
      <c r="U33" s="4">
        <f t="shared" si="16"/>
        <v>0</v>
      </c>
      <c r="V33" s="38">
        <f t="shared" si="17"/>
        <v>0</v>
      </c>
      <c r="W33" s="39">
        <f t="shared" si="18"/>
        <v>0</v>
      </c>
      <c r="X33" s="4">
        <f t="shared" si="19"/>
        <v>0</v>
      </c>
      <c r="Y33" s="4">
        <f t="shared" si="20"/>
        <v>0</v>
      </c>
      <c r="Z33" s="4">
        <f t="shared" si="21"/>
        <v>0</v>
      </c>
      <c r="AA33" s="4">
        <f t="shared" si="22"/>
        <v>0</v>
      </c>
      <c r="AB33" s="4">
        <f t="shared" si="23"/>
        <v>0</v>
      </c>
      <c r="AC33" s="38">
        <f t="shared" si="30"/>
        <v>0</v>
      </c>
      <c r="AD33" s="40">
        <f t="shared" si="24"/>
        <v>0</v>
      </c>
    </row>
    <row r="34" spans="1:30" x14ac:dyDescent="0.3">
      <c r="A34" s="32">
        <f t="shared" si="25"/>
        <v>7500</v>
      </c>
      <c r="B34" s="33">
        <f t="shared" si="2"/>
        <v>0</v>
      </c>
      <c r="C34" s="33">
        <f t="shared" si="3"/>
        <v>7500</v>
      </c>
      <c r="D34" s="34">
        <f t="shared" si="4"/>
        <v>0</v>
      </c>
      <c r="E34" s="32">
        <f t="shared" si="5"/>
        <v>36000</v>
      </c>
      <c r="F34" s="33">
        <f t="shared" si="26"/>
        <v>25500</v>
      </c>
      <c r="G34" s="33">
        <f t="shared" si="6"/>
        <v>250</v>
      </c>
      <c r="H34" s="33">
        <f t="shared" si="7"/>
        <v>0</v>
      </c>
      <c r="I34" s="33">
        <f t="shared" si="33"/>
        <v>250</v>
      </c>
      <c r="J34" s="42">
        <f t="shared" si="8"/>
        <v>0.5</v>
      </c>
      <c r="K34" s="33">
        <f t="shared" si="31"/>
        <v>7750</v>
      </c>
      <c r="L34" s="33">
        <f t="shared" si="9"/>
        <v>24150</v>
      </c>
      <c r="M34" s="32">
        <f t="shared" si="28"/>
        <v>0</v>
      </c>
      <c r="N34" s="33">
        <f t="shared" si="10"/>
        <v>0</v>
      </c>
      <c r="O34" s="34">
        <f t="shared" si="32"/>
        <v>0</v>
      </c>
      <c r="P34" s="32">
        <f t="shared" si="11"/>
        <v>0</v>
      </c>
      <c r="Q34" s="33">
        <f t="shared" si="12"/>
        <v>0</v>
      </c>
      <c r="R34" s="33">
        <f t="shared" si="13"/>
        <v>0</v>
      </c>
      <c r="S34" s="33">
        <f t="shared" si="14"/>
        <v>0</v>
      </c>
      <c r="T34" s="33">
        <f t="shared" si="15"/>
        <v>0</v>
      </c>
      <c r="U34" s="4">
        <f t="shared" si="16"/>
        <v>0</v>
      </c>
      <c r="V34" s="38">
        <f t="shared" si="17"/>
        <v>0</v>
      </c>
      <c r="W34" s="39">
        <f t="shared" si="18"/>
        <v>0</v>
      </c>
      <c r="X34" s="4">
        <f t="shared" si="19"/>
        <v>0</v>
      </c>
      <c r="Y34" s="4">
        <f t="shared" si="20"/>
        <v>0</v>
      </c>
      <c r="Z34" s="4">
        <f t="shared" si="21"/>
        <v>0</v>
      </c>
      <c r="AA34" s="4">
        <f t="shared" si="22"/>
        <v>0</v>
      </c>
      <c r="AB34" s="4">
        <f t="shared" si="23"/>
        <v>0</v>
      </c>
      <c r="AC34" s="38">
        <f t="shared" si="30"/>
        <v>0</v>
      </c>
      <c r="AD34" s="40">
        <f t="shared" si="24"/>
        <v>0</v>
      </c>
    </row>
    <row r="35" spans="1:30" x14ac:dyDescent="0.3">
      <c r="A35" s="32">
        <f t="shared" si="25"/>
        <v>8000</v>
      </c>
      <c r="B35" s="33">
        <f t="shared" si="2"/>
        <v>0</v>
      </c>
      <c r="C35" s="33">
        <f t="shared" si="3"/>
        <v>8000</v>
      </c>
      <c r="D35" s="34">
        <f t="shared" si="4"/>
        <v>0</v>
      </c>
      <c r="E35" s="32">
        <f t="shared" si="5"/>
        <v>36000</v>
      </c>
      <c r="F35" s="33">
        <f t="shared" si="26"/>
        <v>26000</v>
      </c>
      <c r="G35" s="33">
        <f t="shared" si="6"/>
        <v>500</v>
      </c>
      <c r="H35" s="33">
        <f t="shared" si="7"/>
        <v>0</v>
      </c>
      <c r="I35" s="33">
        <f t="shared" si="33"/>
        <v>500</v>
      </c>
      <c r="J35" s="42">
        <f t="shared" si="8"/>
        <v>0.5</v>
      </c>
      <c r="K35" s="33">
        <f t="shared" si="31"/>
        <v>8500</v>
      </c>
      <c r="L35" s="33">
        <f t="shared" si="9"/>
        <v>24150</v>
      </c>
      <c r="M35" s="32">
        <f t="shared" si="28"/>
        <v>0</v>
      </c>
      <c r="N35" s="33">
        <f t="shared" si="10"/>
        <v>0</v>
      </c>
      <c r="O35" s="34">
        <f t="shared" si="32"/>
        <v>0</v>
      </c>
      <c r="P35" s="32">
        <f t="shared" si="11"/>
        <v>0</v>
      </c>
      <c r="Q35" s="33">
        <f t="shared" si="12"/>
        <v>0</v>
      </c>
      <c r="R35" s="33">
        <f t="shared" si="13"/>
        <v>0</v>
      </c>
      <c r="S35" s="33">
        <f t="shared" si="14"/>
        <v>0</v>
      </c>
      <c r="T35" s="33">
        <f t="shared" si="15"/>
        <v>0</v>
      </c>
      <c r="U35" s="4">
        <f t="shared" si="16"/>
        <v>0</v>
      </c>
      <c r="V35" s="38">
        <f t="shared" si="17"/>
        <v>0</v>
      </c>
      <c r="W35" s="39">
        <f t="shared" si="18"/>
        <v>0</v>
      </c>
      <c r="X35" s="4">
        <f t="shared" si="19"/>
        <v>0</v>
      </c>
      <c r="Y35" s="4">
        <f t="shared" si="20"/>
        <v>0</v>
      </c>
      <c r="Z35" s="4">
        <f t="shared" si="21"/>
        <v>0</v>
      </c>
      <c r="AA35" s="4">
        <f t="shared" si="22"/>
        <v>0</v>
      </c>
      <c r="AB35" s="4">
        <f t="shared" si="23"/>
        <v>0</v>
      </c>
      <c r="AC35" s="38">
        <f t="shared" si="30"/>
        <v>0</v>
      </c>
      <c r="AD35" s="40">
        <f t="shared" si="24"/>
        <v>0</v>
      </c>
    </row>
    <row r="36" spans="1:30" x14ac:dyDescent="0.3">
      <c r="A36" s="32">
        <f t="shared" si="25"/>
        <v>8500</v>
      </c>
      <c r="B36" s="33">
        <f t="shared" si="2"/>
        <v>0</v>
      </c>
      <c r="C36" s="33">
        <f t="shared" si="3"/>
        <v>8500</v>
      </c>
      <c r="D36" s="34">
        <f t="shared" si="4"/>
        <v>0</v>
      </c>
      <c r="E36" s="32">
        <f t="shared" si="5"/>
        <v>36000</v>
      </c>
      <c r="F36" s="33">
        <f t="shared" si="26"/>
        <v>26500</v>
      </c>
      <c r="G36" s="33">
        <f t="shared" si="6"/>
        <v>750</v>
      </c>
      <c r="H36" s="33">
        <f t="shared" si="7"/>
        <v>0</v>
      </c>
      <c r="I36" s="33">
        <f t="shared" si="33"/>
        <v>750</v>
      </c>
      <c r="J36" s="42">
        <f t="shared" si="8"/>
        <v>0.5</v>
      </c>
      <c r="K36" s="33">
        <f t="shared" si="31"/>
        <v>9250</v>
      </c>
      <c r="L36" s="33">
        <f t="shared" si="9"/>
        <v>24150</v>
      </c>
      <c r="M36" s="32">
        <f t="shared" si="28"/>
        <v>0</v>
      </c>
      <c r="N36" s="33">
        <f t="shared" si="10"/>
        <v>0</v>
      </c>
      <c r="O36" s="34">
        <f t="shared" si="32"/>
        <v>0</v>
      </c>
      <c r="P36" s="32">
        <f t="shared" si="11"/>
        <v>0</v>
      </c>
      <c r="Q36" s="33">
        <f t="shared" si="12"/>
        <v>0</v>
      </c>
      <c r="R36" s="33">
        <f t="shared" si="13"/>
        <v>0</v>
      </c>
      <c r="S36" s="33">
        <f t="shared" si="14"/>
        <v>0</v>
      </c>
      <c r="T36" s="33">
        <f t="shared" si="15"/>
        <v>0</v>
      </c>
      <c r="U36" s="4">
        <f t="shared" si="16"/>
        <v>0</v>
      </c>
      <c r="V36" s="38">
        <f t="shared" si="17"/>
        <v>0</v>
      </c>
      <c r="W36" s="39">
        <f t="shared" si="18"/>
        <v>0</v>
      </c>
      <c r="X36" s="4">
        <f t="shared" si="19"/>
        <v>0</v>
      </c>
      <c r="Y36" s="4">
        <f t="shared" si="20"/>
        <v>0</v>
      </c>
      <c r="Z36" s="4">
        <f t="shared" si="21"/>
        <v>0</v>
      </c>
      <c r="AA36" s="4">
        <f t="shared" si="22"/>
        <v>0</v>
      </c>
      <c r="AB36" s="4">
        <f t="shared" si="23"/>
        <v>0</v>
      </c>
      <c r="AC36" s="38">
        <f t="shared" si="30"/>
        <v>0</v>
      </c>
      <c r="AD36" s="40">
        <f t="shared" si="24"/>
        <v>0</v>
      </c>
    </row>
    <row r="37" spans="1:30" x14ac:dyDescent="0.3">
      <c r="A37" s="32">
        <f t="shared" si="25"/>
        <v>9000</v>
      </c>
      <c r="B37" s="33">
        <f t="shared" si="2"/>
        <v>0</v>
      </c>
      <c r="C37" s="33">
        <f t="shared" si="3"/>
        <v>9000</v>
      </c>
      <c r="D37" s="34">
        <f t="shared" si="4"/>
        <v>0</v>
      </c>
      <c r="E37" s="32">
        <f t="shared" si="5"/>
        <v>36000</v>
      </c>
      <c r="F37" s="33">
        <f t="shared" si="26"/>
        <v>27000</v>
      </c>
      <c r="G37" s="33">
        <f t="shared" si="6"/>
        <v>1000</v>
      </c>
      <c r="H37" s="33">
        <f t="shared" si="7"/>
        <v>0</v>
      </c>
      <c r="I37" s="33">
        <f t="shared" si="33"/>
        <v>1000</v>
      </c>
      <c r="J37" s="42">
        <f t="shared" si="8"/>
        <v>0.5</v>
      </c>
      <c r="K37" s="33">
        <f t="shared" si="31"/>
        <v>10000</v>
      </c>
      <c r="L37" s="33">
        <f t="shared" si="9"/>
        <v>24150</v>
      </c>
      <c r="M37" s="32">
        <f t="shared" si="28"/>
        <v>0</v>
      </c>
      <c r="N37" s="33">
        <f t="shared" si="10"/>
        <v>0</v>
      </c>
      <c r="O37" s="34">
        <f t="shared" si="32"/>
        <v>0</v>
      </c>
      <c r="P37" s="32">
        <f t="shared" si="11"/>
        <v>0</v>
      </c>
      <c r="Q37" s="33">
        <f t="shared" si="12"/>
        <v>0</v>
      </c>
      <c r="R37" s="33">
        <f t="shared" si="13"/>
        <v>0</v>
      </c>
      <c r="S37" s="33">
        <f t="shared" si="14"/>
        <v>0</v>
      </c>
      <c r="T37" s="33">
        <f t="shared" si="15"/>
        <v>0</v>
      </c>
      <c r="U37" s="4">
        <f t="shared" si="16"/>
        <v>0</v>
      </c>
      <c r="V37" s="38">
        <f t="shared" si="17"/>
        <v>0</v>
      </c>
      <c r="W37" s="39">
        <f t="shared" si="18"/>
        <v>0</v>
      </c>
      <c r="X37" s="4">
        <f t="shared" si="19"/>
        <v>0</v>
      </c>
      <c r="Y37" s="4">
        <f t="shared" si="20"/>
        <v>0</v>
      </c>
      <c r="Z37" s="4">
        <f t="shared" si="21"/>
        <v>0</v>
      </c>
      <c r="AA37" s="4">
        <f t="shared" si="22"/>
        <v>0</v>
      </c>
      <c r="AB37" s="4">
        <f t="shared" si="23"/>
        <v>0</v>
      </c>
      <c r="AC37" s="38">
        <f t="shared" si="30"/>
        <v>0</v>
      </c>
      <c r="AD37" s="40">
        <f t="shared" si="24"/>
        <v>0</v>
      </c>
    </row>
    <row r="38" spans="1:30" x14ac:dyDescent="0.3">
      <c r="A38" s="32">
        <f t="shared" si="25"/>
        <v>9500</v>
      </c>
      <c r="B38" s="33">
        <f t="shared" si="2"/>
        <v>0</v>
      </c>
      <c r="C38" s="33">
        <f t="shared" si="3"/>
        <v>9500</v>
      </c>
      <c r="D38" s="34">
        <f t="shared" si="4"/>
        <v>0</v>
      </c>
      <c r="E38" s="32">
        <f t="shared" si="5"/>
        <v>36000</v>
      </c>
      <c r="F38" s="33">
        <f t="shared" si="26"/>
        <v>27500</v>
      </c>
      <c r="G38" s="33">
        <f t="shared" si="6"/>
        <v>1250</v>
      </c>
      <c r="H38" s="33">
        <f t="shared" si="7"/>
        <v>0</v>
      </c>
      <c r="I38" s="33">
        <f t="shared" si="33"/>
        <v>1250</v>
      </c>
      <c r="J38" s="42">
        <f t="shared" si="8"/>
        <v>0.5</v>
      </c>
      <c r="K38" s="33">
        <f t="shared" si="31"/>
        <v>10750</v>
      </c>
      <c r="L38" s="33">
        <f t="shared" si="9"/>
        <v>24150</v>
      </c>
      <c r="M38" s="32">
        <f t="shared" si="28"/>
        <v>0</v>
      </c>
      <c r="N38" s="33">
        <f t="shared" si="10"/>
        <v>0</v>
      </c>
      <c r="O38" s="34">
        <f t="shared" si="32"/>
        <v>0</v>
      </c>
      <c r="P38" s="32">
        <f t="shared" si="11"/>
        <v>0</v>
      </c>
      <c r="Q38" s="33">
        <f t="shared" si="12"/>
        <v>0</v>
      </c>
      <c r="R38" s="33">
        <f t="shared" si="13"/>
        <v>0</v>
      </c>
      <c r="S38" s="33">
        <f t="shared" si="14"/>
        <v>0</v>
      </c>
      <c r="T38" s="33">
        <f t="shared" si="15"/>
        <v>0</v>
      </c>
      <c r="U38" s="4">
        <f t="shared" si="16"/>
        <v>0</v>
      </c>
      <c r="V38" s="38">
        <f t="shared" si="17"/>
        <v>0</v>
      </c>
      <c r="W38" s="39">
        <f t="shared" si="18"/>
        <v>0</v>
      </c>
      <c r="X38" s="4">
        <f t="shared" si="19"/>
        <v>0</v>
      </c>
      <c r="Y38" s="4">
        <f t="shared" si="20"/>
        <v>0</v>
      </c>
      <c r="Z38" s="4">
        <f t="shared" si="21"/>
        <v>0</v>
      </c>
      <c r="AA38" s="4">
        <f t="shared" si="22"/>
        <v>0</v>
      </c>
      <c r="AB38" s="4">
        <f t="shared" si="23"/>
        <v>0</v>
      </c>
      <c r="AC38" s="38">
        <f t="shared" si="30"/>
        <v>0</v>
      </c>
      <c r="AD38" s="40">
        <f t="shared" si="24"/>
        <v>0</v>
      </c>
    </row>
    <row r="39" spans="1:30" x14ac:dyDescent="0.3">
      <c r="A39" s="32">
        <f t="shared" si="25"/>
        <v>10000</v>
      </c>
      <c r="B39" s="33">
        <f t="shared" si="2"/>
        <v>0</v>
      </c>
      <c r="C39" s="33">
        <f t="shared" si="3"/>
        <v>10000</v>
      </c>
      <c r="D39" s="34">
        <f t="shared" si="4"/>
        <v>0</v>
      </c>
      <c r="E39" s="32">
        <f t="shared" si="5"/>
        <v>36000</v>
      </c>
      <c r="F39" s="33">
        <f t="shared" si="26"/>
        <v>28000</v>
      </c>
      <c r="G39" s="33">
        <f t="shared" si="6"/>
        <v>1500</v>
      </c>
      <c r="H39" s="33">
        <f t="shared" si="7"/>
        <v>0</v>
      </c>
      <c r="I39" s="33">
        <f t="shared" si="33"/>
        <v>1500</v>
      </c>
      <c r="J39" s="42">
        <f t="shared" si="8"/>
        <v>0.5</v>
      </c>
      <c r="K39" s="33">
        <f t="shared" si="31"/>
        <v>11500</v>
      </c>
      <c r="L39" s="33">
        <f t="shared" si="9"/>
        <v>24150</v>
      </c>
      <c r="M39" s="32">
        <f t="shared" si="28"/>
        <v>0</v>
      </c>
      <c r="N39" s="33">
        <f t="shared" si="10"/>
        <v>0</v>
      </c>
      <c r="O39" s="34">
        <f t="shared" si="32"/>
        <v>0</v>
      </c>
      <c r="P39" s="32">
        <f t="shared" si="11"/>
        <v>0</v>
      </c>
      <c r="Q39" s="33">
        <f t="shared" si="12"/>
        <v>0</v>
      </c>
      <c r="R39" s="33">
        <f t="shared" si="13"/>
        <v>0</v>
      </c>
      <c r="S39" s="33">
        <f t="shared" si="14"/>
        <v>0</v>
      </c>
      <c r="T39" s="33">
        <f t="shared" si="15"/>
        <v>0</v>
      </c>
      <c r="U39" s="4">
        <f t="shared" si="16"/>
        <v>0</v>
      </c>
      <c r="V39" s="38">
        <f t="shared" si="17"/>
        <v>0</v>
      </c>
      <c r="W39" s="39">
        <f t="shared" si="18"/>
        <v>0</v>
      </c>
      <c r="X39" s="4">
        <f t="shared" si="19"/>
        <v>0</v>
      </c>
      <c r="Y39" s="4">
        <f t="shared" si="20"/>
        <v>0</v>
      </c>
      <c r="Z39" s="4">
        <f t="shared" si="21"/>
        <v>0</v>
      </c>
      <c r="AA39" s="4">
        <f t="shared" si="22"/>
        <v>0</v>
      </c>
      <c r="AB39" s="4">
        <f t="shared" si="23"/>
        <v>0</v>
      </c>
      <c r="AC39" s="38">
        <f t="shared" si="30"/>
        <v>0</v>
      </c>
      <c r="AD39" s="40">
        <f t="shared" si="24"/>
        <v>0</v>
      </c>
    </row>
    <row r="40" spans="1:30" x14ac:dyDescent="0.3">
      <c r="A40" s="32">
        <f t="shared" si="25"/>
        <v>10500</v>
      </c>
      <c r="B40" s="33">
        <f t="shared" si="2"/>
        <v>0</v>
      </c>
      <c r="C40" s="33">
        <f t="shared" si="3"/>
        <v>10500</v>
      </c>
      <c r="D40" s="34">
        <f t="shared" si="4"/>
        <v>0</v>
      </c>
      <c r="E40" s="32">
        <f t="shared" si="5"/>
        <v>36000</v>
      </c>
      <c r="F40" s="33">
        <f t="shared" si="26"/>
        <v>28500</v>
      </c>
      <c r="G40" s="33">
        <f t="shared" si="6"/>
        <v>1750</v>
      </c>
      <c r="H40" s="33">
        <f t="shared" si="7"/>
        <v>0</v>
      </c>
      <c r="I40" s="33">
        <f t="shared" si="33"/>
        <v>1750</v>
      </c>
      <c r="J40" s="42">
        <f t="shared" si="8"/>
        <v>0.5</v>
      </c>
      <c r="K40" s="33">
        <f t="shared" si="31"/>
        <v>12250</v>
      </c>
      <c r="L40" s="33">
        <f t="shared" si="9"/>
        <v>24150</v>
      </c>
      <c r="M40" s="32">
        <f t="shared" si="28"/>
        <v>0</v>
      </c>
      <c r="N40" s="33">
        <f t="shared" si="10"/>
        <v>0</v>
      </c>
      <c r="O40" s="34">
        <f t="shared" si="32"/>
        <v>0</v>
      </c>
      <c r="P40" s="32">
        <f t="shared" si="11"/>
        <v>0</v>
      </c>
      <c r="Q40" s="33">
        <f t="shared" si="12"/>
        <v>0</v>
      </c>
      <c r="R40" s="33">
        <f t="shared" si="13"/>
        <v>0</v>
      </c>
      <c r="S40" s="33">
        <f t="shared" si="14"/>
        <v>0</v>
      </c>
      <c r="T40" s="33">
        <f t="shared" si="15"/>
        <v>0</v>
      </c>
      <c r="U40" s="4">
        <f t="shared" si="16"/>
        <v>0</v>
      </c>
      <c r="V40" s="38">
        <f t="shared" si="17"/>
        <v>0</v>
      </c>
      <c r="W40" s="39">
        <f t="shared" si="18"/>
        <v>0</v>
      </c>
      <c r="X40" s="4">
        <f t="shared" si="19"/>
        <v>0</v>
      </c>
      <c r="Y40" s="4">
        <f t="shared" si="20"/>
        <v>0</v>
      </c>
      <c r="Z40" s="4">
        <f t="shared" si="21"/>
        <v>0</v>
      </c>
      <c r="AA40" s="4">
        <f t="shared" si="22"/>
        <v>0</v>
      </c>
      <c r="AB40" s="4">
        <f t="shared" si="23"/>
        <v>0</v>
      </c>
      <c r="AC40" s="38">
        <f t="shared" si="30"/>
        <v>0</v>
      </c>
      <c r="AD40" s="40">
        <f t="shared" si="24"/>
        <v>0</v>
      </c>
    </row>
    <row r="41" spans="1:30" x14ac:dyDescent="0.3">
      <c r="A41" s="32">
        <f t="shared" si="25"/>
        <v>11000</v>
      </c>
      <c r="B41" s="33">
        <f t="shared" si="2"/>
        <v>0</v>
      </c>
      <c r="C41" s="33">
        <f t="shared" si="3"/>
        <v>11000</v>
      </c>
      <c r="D41" s="34">
        <f t="shared" si="4"/>
        <v>0</v>
      </c>
      <c r="E41" s="32">
        <f t="shared" si="5"/>
        <v>36000</v>
      </c>
      <c r="F41" s="33">
        <f t="shared" si="26"/>
        <v>29000</v>
      </c>
      <c r="G41" s="33">
        <f t="shared" si="6"/>
        <v>2000</v>
      </c>
      <c r="H41" s="33">
        <f t="shared" si="7"/>
        <v>0</v>
      </c>
      <c r="I41" s="33">
        <f t="shared" si="33"/>
        <v>2000</v>
      </c>
      <c r="J41" s="42">
        <f t="shared" si="8"/>
        <v>0.5</v>
      </c>
      <c r="K41" s="33">
        <f t="shared" si="31"/>
        <v>13000</v>
      </c>
      <c r="L41" s="33">
        <f t="shared" si="9"/>
        <v>24150</v>
      </c>
      <c r="M41" s="32">
        <f t="shared" si="28"/>
        <v>0</v>
      </c>
      <c r="N41" s="33">
        <f t="shared" si="10"/>
        <v>0</v>
      </c>
      <c r="O41" s="34">
        <f t="shared" si="32"/>
        <v>0</v>
      </c>
      <c r="P41" s="32">
        <f t="shared" si="11"/>
        <v>0</v>
      </c>
      <c r="Q41" s="33">
        <f t="shared" si="12"/>
        <v>0</v>
      </c>
      <c r="R41" s="33">
        <f t="shared" si="13"/>
        <v>0</v>
      </c>
      <c r="S41" s="33">
        <f t="shared" si="14"/>
        <v>0</v>
      </c>
      <c r="T41" s="33">
        <f t="shared" si="15"/>
        <v>0</v>
      </c>
      <c r="U41" s="4">
        <f t="shared" si="16"/>
        <v>0</v>
      </c>
      <c r="V41" s="38">
        <f t="shared" si="17"/>
        <v>0</v>
      </c>
      <c r="W41" s="39">
        <f t="shared" si="18"/>
        <v>0</v>
      </c>
      <c r="X41" s="4">
        <f t="shared" si="19"/>
        <v>0</v>
      </c>
      <c r="Y41" s="4">
        <f t="shared" si="20"/>
        <v>0</v>
      </c>
      <c r="Z41" s="4">
        <f t="shared" si="21"/>
        <v>0</v>
      </c>
      <c r="AA41" s="4">
        <f t="shared" si="22"/>
        <v>0</v>
      </c>
      <c r="AB41" s="4">
        <f t="shared" si="23"/>
        <v>0</v>
      </c>
      <c r="AC41" s="38">
        <f t="shared" si="30"/>
        <v>0</v>
      </c>
      <c r="AD41" s="40">
        <f t="shared" si="24"/>
        <v>0</v>
      </c>
    </row>
    <row r="42" spans="1:30" x14ac:dyDescent="0.3">
      <c r="A42" s="32">
        <f t="shared" si="25"/>
        <v>11500</v>
      </c>
      <c r="B42" s="33">
        <f t="shared" si="2"/>
        <v>0</v>
      </c>
      <c r="C42" s="33">
        <f t="shared" si="3"/>
        <v>11500</v>
      </c>
      <c r="D42" s="34">
        <f t="shared" si="4"/>
        <v>0</v>
      </c>
      <c r="E42" s="32">
        <f t="shared" si="5"/>
        <v>36000</v>
      </c>
      <c r="F42" s="33">
        <f t="shared" si="26"/>
        <v>29500</v>
      </c>
      <c r="G42" s="33">
        <f t="shared" si="6"/>
        <v>2250</v>
      </c>
      <c r="H42" s="33">
        <f t="shared" si="7"/>
        <v>0</v>
      </c>
      <c r="I42" s="33">
        <f t="shared" si="33"/>
        <v>2250</v>
      </c>
      <c r="J42" s="42">
        <f t="shared" si="8"/>
        <v>0.5</v>
      </c>
      <c r="K42" s="33">
        <f t="shared" si="31"/>
        <v>13750</v>
      </c>
      <c r="L42" s="33">
        <f t="shared" si="9"/>
        <v>24150</v>
      </c>
      <c r="M42" s="32">
        <f t="shared" si="28"/>
        <v>0</v>
      </c>
      <c r="N42" s="33">
        <f t="shared" si="10"/>
        <v>0</v>
      </c>
      <c r="O42" s="34">
        <f t="shared" si="32"/>
        <v>0</v>
      </c>
      <c r="P42" s="32">
        <f t="shared" si="11"/>
        <v>0</v>
      </c>
      <c r="Q42" s="33">
        <f t="shared" si="12"/>
        <v>0</v>
      </c>
      <c r="R42" s="33">
        <f t="shared" si="13"/>
        <v>0</v>
      </c>
      <c r="S42" s="33">
        <f t="shared" si="14"/>
        <v>0</v>
      </c>
      <c r="T42" s="33">
        <f t="shared" si="15"/>
        <v>0</v>
      </c>
      <c r="U42" s="4">
        <f t="shared" si="16"/>
        <v>0</v>
      </c>
      <c r="V42" s="38">
        <f t="shared" si="17"/>
        <v>0</v>
      </c>
      <c r="W42" s="39">
        <f t="shared" si="18"/>
        <v>0</v>
      </c>
      <c r="X42" s="4">
        <f t="shared" si="19"/>
        <v>0</v>
      </c>
      <c r="Y42" s="4">
        <f t="shared" si="20"/>
        <v>0</v>
      </c>
      <c r="Z42" s="4">
        <f t="shared" si="21"/>
        <v>0</v>
      </c>
      <c r="AA42" s="4">
        <f t="shared" si="22"/>
        <v>0</v>
      </c>
      <c r="AB42" s="4">
        <f t="shared" si="23"/>
        <v>0</v>
      </c>
      <c r="AC42" s="38">
        <f t="shared" si="30"/>
        <v>0</v>
      </c>
      <c r="AD42" s="40">
        <f t="shared" si="24"/>
        <v>0</v>
      </c>
    </row>
    <row r="43" spans="1:30" x14ac:dyDescent="0.3">
      <c r="A43" s="32">
        <f t="shared" si="25"/>
        <v>12000</v>
      </c>
      <c r="B43" s="33">
        <f t="shared" si="2"/>
        <v>0</v>
      </c>
      <c r="C43" s="33">
        <f t="shared" si="3"/>
        <v>12000</v>
      </c>
      <c r="D43" s="34">
        <f t="shared" si="4"/>
        <v>0</v>
      </c>
      <c r="E43" s="32">
        <f t="shared" si="5"/>
        <v>36000</v>
      </c>
      <c r="F43" s="33">
        <f t="shared" si="26"/>
        <v>30000</v>
      </c>
      <c r="G43" s="33">
        <f t="shared" si="6"/>
        <v>2500</v>
      </c>
      <c r="H43" s="33">
        <f t="shared" si="7"/>
        <v>0</v>
      </c>
      <c r="I43" s="33">
        <f t="shared" si="33"/>
        <v>2500</v>
      </c>
      <c r="J43" s="42">
        <f t="shared" si="8"/>
        <v>0.5</v>
      </c>
      <c r="K43" s="33">
        <f t="shared" si="31"/>
        <v>14500</v>
      </c>
      <c r="L43" s="33">
        <f t="shared" si="9"/>
        <v>24150</v>
      </c>
      <c r="M43" s="32">
        <f t="shared" si="28"/>
        <v>0</v>
      </c>
      <c r="N43" s="33">
        <f t="shared" si="10"/>
        <v>0</v>
      </c>
      <c r="O43" s="34">
        <f t="shared" si="32"/>
        <v>0</v>
      </c>
      <c r="P43" s="32">
        <f t="shared" si="11"/>
        <v>0</v>
      </c>
      <c r="Q43" s="33">
        <f t="shared" si="12"/>
        <v>0</v>
      </c>
      <c r="R43" s="33">
        <f t="shared" si="13"/>
        <v>0</v>
      </c>
      <c r="S43" s="33">
        <f t="shared" si="14"/>
        <v>0</v>
      </c>
      <c r="T43" s="33">
        <f t="shared" si="15"/>
        <v>0</v>
      </c>
      <c r="U43" s="4">
        <f t="shared" si="16"/>
        <v>0</v>
      </c>
      <c r="V43" s="38">
        <f t="shared" si="17"/>
        <v>0</v>
      </c>
      <c r="W43" s="39">
        <f t="shared" si="18"/>
        <v>0</v>
      </c>
      <c r="X43" s="4">
        <f t="shared" si="19"/>
        <v>0</v>
      </c>
      <c r="Y43" s="4">
        <f t="shared" si="20"/>
        <v>0</v>
      </c>
      <c r="Z43" s="4">
        <f t="shared" si="21"/>
        <v>0</v>
      </c>
      <c r="AA43" s="4">
        <f t="shared" si="22"/>
        <v>0</v>
      </c>
      <c r="AB43" s="4">
        <f t="shared" si="23"/>
        <v>0</v>
      </c>
      <c r="AC43" s="38">
        <f t="shared" si="30"/>
        <v>0</v>
      </c>
      <c r="AD43" s="40">
        <f t="shared" si="24"/>
        <v>0</v>
      </c>
    </row>
    <row r="44" spans="1:30" x14ac:dyDescent="0.3">
      <c r="A44" s="32">
        <f t="shared" si="25"/>
        <v>12500</v>
      </c>
      <c r="B44" s="33">
        <f t="shared" si="2"/>
        <v>0</v>
      </c>
      <c r="C44" s="33">
        <f t="shared" si="3"/>
        <v>12500</v>
      </c>
      <c r="D44" s="34">
        <f t="shared" si="4"/>
        <v>0</v>
      </c>
      <c r="E44" s="32">
        <f t="shared" si="5"/>
        <v>36000</v>
      </c>
      <c r="F44" s="33">
        <f t="shared" si="26"/>
        <v>30500</v>
      </c>
      <c r="G44" s="33">
        <f t="shared" si="6"/>
        <v>2750</v>
      </c>
      <c r="H44" s="33">
        <f t="shared" si="7"/>
        <v>0</v>
      </c>
      <c r="I44" s="33">
        <f t="shared" si="33"/>
        <v>2750</v>
      </c>
      <c r="J44" s="42">
        <f t="shared" si="8"/>
        <v>0.5</v>
      </c>
      <c r="K44" s="33">
        <f t="shared" si="31"/>
        <v>15250</v>
      </c>
      <c r="L44" s="33">
        <f t="shared" si="9"/>
        <v>24150</v>
      </c>
      <c r="M44" s="32">
        <f t="shared" si="28"/>
        <v>0</v>
      </c>
      <c r="N44" s="33">
        <f t="shared" si="10"/>
        <v>0</v>
      </c>
      <c r="O44" s="34">
        <f t="shared" si="32"/>
        <v>0</v>
      </c>
      <c r="P44" s="32">
        <f t="shared" si="11"/>
        <v>0</v>
      </c>
      <c r="Q44" s="33">
        <f t="shared" si="12"/>
        <v>0</v>
      </c>
      <c r="R44" s="33">
        <f t="shared" si="13"/>
        <v>0</v>
      </c>
      <c r="S44" s="33">
        <f t="shared" si="14"/>
        <v>0</v>
      </c>
      <c r="T44" s="33">
        <f t="shared" si="15"/>
        <v>0</v>
      </c>
      <c r="U44" s="4">
        <f t="shared" si="16"/>
        <v>0</v>
      </c>
      <c r="V44" s="38">
        <f t="shared" si="17"/>
        <v>0</v>
      </c>
      <c r="W44" s="39">
        <f t="shared" si="18"/>
        <v>0</v>
      </c>
      <c r="X44" s="4">
        <f t="shared" si="19"/>
        <v>0</v>
      </c>
      <c r="Y44" s="4">
        <f t="shared" si="20"/>
        <v>0</v>
      </c>
      <c r="Z44" s="4">
        <f t="shared" si="21"/>
        <v>0</v>
      </c>
      <c r="AA44" s="4">
        <f t="shared" si="22"/>
        <v>0</v>
      </c>
      <c r="AB44" s="4">
        <f t="shared" si="23"/>
        <v>0</v>
      </c>
      <c r="AC44" s="38">
        <f t="shared" si="30"/>
        <v>0</v>
      </c>
      <c r="AD44" s="40">
        <f t="shared" si="24"/>
        <v>0</v>
      </c>
    </row>
    <row r="45" spans="1:30" x14ac:dyDescent="0.3">
      <c r="A45" s="32">
        <f t="shared" si="25"/>
        <v>13000</v>
      </c>
      <c r="B45" s="33">
        <f t="shared" si="2"/>
        <v>0</v>
      </c>
      <c r="C45" s="33">
        <f t="shared" si="3"/>
        <v>13000</v>
      </c>
      <c r="D45" s="34">
        <f t="shared" si="4"/>
        <v>0</v>
      </c>
      <c r="E45" s="32">
        <f t="shared" si="5"/>
        <v>36000</v>
      </c>
      <c r="F45" s="33">
        <f t="shared" si="26"/>
        <v>31000</v>
      </c>
      <c r="G45" s="33">
        <f t="shared" si="6"/>
        <v>3000</v>
      </c>
      <c r="H45" s="33">
        <f t="shared" si="7"/>
        <v>0</v>
      </c>
      <c r="I45" s="33">
        <f t="shared" si="33"/>
        <v>3000</v>
      </c>
      <c r="J45" s="42">
        <f t="shared" si="8"/>
        <v>0.5</v>
      </c>
      <c r="K45" s="33">
        <f t="shared" si="31"/>
        <v>16000</v>
      </c>
      <c r="L45" s="33">
        <f t="shared" si="9"/>
        <v>24150</v>
      </c>
      <c r="M45" s="32">
        <f t="shared" si="28"/>
        <v>0</v>
      </c>
      <c r="N45" s="33">
        <f t="shared" si="10"/>
        <v>0</v>
      </c>
      <c r="O45" s="34">
        <f t="shared" si="32"/>
        <v>0</v>
      </c>
      <c r="P45" s="32">
        <f t="shared" si="11"/>
        <v>0</v>
      </c>
      <c r="Q45" s="33">
        <f t="shared" si="12"/>
        <v>0</v>
      </c>
      <c r="R45" s="33">
        <f t="shared" si="13"/>
        <v>0</v>
      </c>
      <c r="S45" s="33">
        <f t="shared" si="14"/>
        <v>0</v>
      </c>
      <c r="T45" s="33">
        <f t="shared" si="15"/>
        <v>0</v>
      </c>
      <c r="U45" s="4">
        <f t="shared" si="16"/>
        <v>0</v>
      </c>
      <c r="V45" s="38">
        <f t="shared" si="17"/>
        <v>0</v>
      </c>
      <c r="W45" s="39">
        <f t="shared" si="18"/>
        <v>0</v>
      </c>
      <c r="X45" s="4">
        <f t="shared" si="19"/>
        <v>0</v>
      </c>
      <c r="Y45" s="4">
        <f t="shared" si="20"/>
        <v>0</v>
      </c>
      <c r="Z45" s="4">
        <f t="shared" si="21"/>
        <v>0</v>
      </c>
      <c r="AA45" s="4">
        <f t="shared" si="22"/>
        <v>0</v>
      </c>
      <c r="AB45" s="4">
        <f t="shared" si="23"/>
        <v>0</v>
      </c>
      <c r="AC45" s="38">
        <f t="shared" si="30"/>
        <v>0</v>
      </c>
      <c r="AD45" s="40">
        <f t="shared" si="24"/>
        <v>0</v>
      </c>
    </row>
    <row r="46" spans="1:30" x14ac:dyDescent="0.3">
      <c r="A46" s="32">
        <f t="shared" si="25"/>
        <v>13500</v>
      </c>
      <c r="B46" s="33">
        <f t="shared" si="2"/>
        <v>0</v>
      </c>
      <c r="C46" s="33">
        <f t="shared" si="3"/>
        <v>13500</v>
      </c>
      <c r="D46" s="34">
        <f t="shared" si="4"/>
        <v>0</v>
      </c>
      <c r="E46" s="32">
        <f t="shared" si="5"/>
        <v>36000</v>
      </c>
      <c r="F46" s="33">
        <f t="shared" si="26"/>
        <v>31500</v>
      </c>
      <c r="G46" s="33">
        <f t="shared" si="6"/>
        <v>3250</v>
      </c>
      <c r="H46" s="33">
        <f t="shared" si="7"/>
        <v>0</v>
      </c>
      <c r="I46" s="33">
        <f t="shared" si="33"/>
        <v>3250</v>
      </c>
      <c r="J46" s="42">
        <f t="shared" si="8"/>
        <v>0.5</v>
      </c>
      <c r="K46" s="33">
        <f t="shared" si="31"/>
        <v>16750</v>
      </c>
      <c r="L46" s="33">
        <f t="shared" si="9"/>
        <v>24150</v>
      </c>
      <c r="M46" s="32">
        <f t="shared" si="28"/>
        <v>0</v>
      </c>
      <c r="N46" s="33">
        <f t="shared" si="10"/>
        <v>0</v>
      </c>
      <c r="O46" s="34">
        <f t="shared" si="32"/>
        <v>0</v>
      </c>
      <c r="P46" s="32">
        <f t="shared" si="11"/>
        <v>0</v>
      </c>
      <c r="Q46" s="33">
        <f t="shared" si="12"/>
        <v>0</v>
      </c>
      <c r="R46" s="33">
        <f t="shared" si="13"/>
        <v>0</v>
      </c>
      <c r="S46" s="33">
        <f t="shared" si="14"/>
        <v>0</v>
      </c>
      <c r="T46" s="33">
        <f t="shared" si="15"/>
        <v>0</v>
      </c>
      <c r="U46" s="4">
        <f t="shared" si="16"/>
        <v>0</v>
      </c>
      <c r="V46" s="38">
        <f t="shared" si="17"/>
        <v>0</v>
      </c>
      <c r="W46" s="39">
        <f t="shared" si="18"/>
        <v>0</v>
      </c>
      <c r="X46" s="4">
        <f t="shared" si="19"/>
        <v>0</v>
      </c>
      <c r="Y46" s="4">
        <f t="shared" si="20"/>
        <v>0</v>
      </c>
      <c r="Z46" s="4">
        <f t="shared" si="21"/>
        <v>0</v>
      </c>
      <c r="AA46" s="4">
        <f t="shared" si="22"/>
        <v>0</v>
      </c>
      <c r="AB46" s="4">
        <f t="shared" si="23"/>
        <v>0</v>
      </c>
      <c r="AC46" s="38">
        <f t="shared" si="30"/>
        <v>0</v>
      </c>
      <c r="AD46" s="40">
        <f t="shared" si="24"/>
        <v>0</v>
      </c>
    </row>
    <row r="47" spans="1:30" x14ac:dyDescent="0.3">
      <c r="A47" s="32">
        <f t="shared" si="25"/>
        <v>14000</v>
      </c>
      <c r="B47" s="33">
        <f t="shared" si="2"/>
        <v>0</v>
      </c>
      <c r="C47" s="33">
        <f t="shared" si="3"/>
        <v>14000</v>
      </c>
      <c r="D47" s="34">
        <f t="shared" si="4"/>
        <v>0</v>
      </c>
      <c r="E47" s="32">
        <f t="shared" si="5"/>
        <v>36000</v>
      </c>
      <c r="F47" s="33">
        <f t="shared" si="26"/>
        <v>32000</v>
      </c>
      <c r="G47" s="33">
        <f t="shared" si="6"/>
        <v>3500</v>
      </c>
      <c r="H47" s="33">
        <f t="shared" si="7"/>
        <v>0</v>
      </c>
      <c r="I47" s="33">
        <f t="shared" si="33"/>
        <v>3500</v>
      </c>
      <c r="J47" s="42">
        <f t="shared" si="8"/>
        <v>0.5</v>
      </c>
      <c r="K47" s="33">
        <f t="shared" si="31"/>
        <v>17500</v>
      </c>
      <c r="L47" s="33">
        <f t="shared" si="9"/>
        <v>24150</v>
      </c>
      <c r="M47" s="32">
        <f t="shared" si="28"/>
        <v>0</v>
      </c>
      <c r="N47" s="33">
        <f t="shared" si="10"/>
        <v>0</v>
      </c>
      <c r="O47" s="34">
        <f t="shared" si="32"/>
        <v>0</v>
      </c>
      <c r="P47" s="32">
        <f t="shared" si="11"/>
        <v>0</v>
      </c>
      <c r="Q47" s="33">
        <f t="shared" si="12"/>
        <v>0</v>
      </c>
      <c r="R47" s="33">
        <f t="shared" si="13"/>
        <v>0</v>
      </c>
      <c r="S47" s="33">
        <f t="shared" si="14"/>
        <v>0</v>
      </c>
      <c r="T47" s="33">
        <f t="shared" si="15"/>
        <v>0</v>
      </c>
      <c r="U47" s="4">
        <f t="shared" si="16"/>
        <v>0</v>
      </c>
      <c r="V47" s="38">
        <f t="shared" si="17"/>
        <v>0</v>
      </c>
      <c r="W47" s="39">
        <f t="shared" si="18"/>
        <v>0</v>
      </c>
      <c r="X47" s="4">
        <f t="shared" si="19"/>
        <v>0</v>
      </c>
      <c r="Y47" s="4">
        <f t="shared" si="20"/>
        <v>0</v>
      </c>
      <c r="Z47" s="4">
        <f t="shared" si="21"/>
        <v>0</v>
      </c>
      <c r="AA47" s="4">
        <f t="shared" si="22"/>
        <v>0</v>
      </c>
      <c r="AB47" s="4">
        <f t="shared" si="23"/>
        <v>0</v>
      </c>
      <c r="AC47" s="38">
        <f t="shared" si="30"/>
        <v>0</v>
      </c>
      <c r="AD47" s="40">
        <f t="shared" si="24"/>
        <v>0</v>
      </c>
    </row>
    <row r="48" spans="1:30" x14ac:dyDescent="0.3">
      <c r="A48" s="32">
        <f t="shared" si="25"/>
        <v>14500</v>
      </c>
      <c r="B48" s="33">
        <f t="shared" si="2"/>
        <v>0</v>
      </c>
      <c r="C48" s="33">
        <f t="shared" si="3"/>
        <v>14500</v>
      </c>
      <c r="D48" s="34">
        <f t="shared" si="4"/>
        <v>0</v>
      </c>
      <c r="E48" s="32">
        <f t="shared" si="5"/>
        <v>36000</v>
      </c>
      <c r="F48" s="33">
        <f t="shared" si="26"/>
        <v>32500</v>
      </c>
      <c r="G48" s="33">
        <f t="shared" si="6"/>
        <v>3750</v>
      </c>
      <c r="H48" s="33">
        <f t="shared" si="7"/>
        <v>0</v>
      </c>
      <c r="I48" s="33">
        <f t="shared" si="33"/>
        <v>3750</v>
      </c>
      <c r="J48" s="42">
        <f t="shared" si="8"/>
        <v>0.5</v>
      </c>
      <c r="K48" s="33">
        <f t="shared" si="31"/>
        <v>18250</v>
      </c>
      <c r="L48" s="33">
        <f t="shared" si="9"/>
        <v>24150</v>
      </c>
      <c r="M48" s="32">
        <f t="shared" si="28"/>
        <v>0</v>
      </c>
      <c r="N48" s="33">
        <f t="shared" si="10"/>
        <v>0</v>
      </c>
      <c r="O48" s="34">
        <f t="shared" si="32"/>
        <v>0</v>
      </c>
      <c r="P48" s="32">
        <f t="shared" si="11"/>
        <v>0</v>
      </c>
      <c r="Q48" s="33">
        <f t="shared" si="12"/>
        <v>0</v>
      </c>
      <c r="R48" s="33">
        <f t="shared" si="13"/>
        <v>0</v>
      </c>
      <c r="S48" s="33">
        <f t="shared" si="14"/>
        <v>0</v>
      </c>
      <c r="T48" s="33">
        <f t="shared" si="15"/>
        <v>0</v>
      </c>
      <c r="U48" s="4">
        <f t="shared" si="16"/>
        <v>0</v>
      </c>
      <c r="V48" s="38">
        <f t="shared" si="17"/>
        <v>0</v>
      </c>
      <c r="W48" s="39">
        <f t="shared" si="18"/>
        <v>0</v>
      </c>
      <c r="X48" s="4">
        <f t="shared" si="19"/>
        <v>0</v>
      </c>
      <c r="Y48" s="4">
        <f t="shared" si="20"/>
        <v>0</v>
      </c>
      <c r="Z48" s="4">
        <f t="shared" si="21"/>
        <v>0</v>
      </c>
      <c r="AA48" s="4">
        <f t="shared" si="22"/>
        <v>0</v>
      </c>
      <c r="AB48" s="4">
        <f t="shared" si="23"/>
        <v>0</v>
      </c>
      <c r="AC48" s="38">
        <f t="shared" si="30"/>
        <v>0</v>
      </c>
      <c r="AD48" s="40">
        <f t="shared" si="24"/>
        <v>0</v>
      </c>
    </row>
    <row r="49" spans="1:30" x14ac:dyDescent="0.3">
      <c r="A49" s="32">
        <f t="shared" si="25"/>
        <v>15000</v>
      </c>
      <c r="B49" s="33">
        <f t="shared" si="2"/>
        <v>0</v>
      </c>
      <c r="C49" s="33">
        <f t="shared" si="3"/>
        <v>15000</v>
      </c>
      <c r="D49" s="34">
        <f t="shared" si="4"/>
        <v>0</v>
      </c>
      <c r="E49" s="32">
        <f t="shared" si="5"/>
        <v>36000</v>
      </c>
      <c r="F49" s="33">
        <f t="shared" si="26"/>
        <v>33000</v>
      </c>
      <c r="G49" s="33">
        <f t="shared" si="6"/>
        <v>4000</v>
      </c>
      <c r="H49" s="33">
        <f t="shared" si="7"/>
        <v>0</v>
      </c>
      <c r="I49" s="33">
        <f t="shared" si="33"/>
        <v>4000</v>
      </c>
      <c r="J49" s="42">
        <f t="shared" si="8"/>
        <v>0.5</v>
      </c>
      <c r="K49" s="33">
        <f t="shared" si="31"/>
        <v>19000</v>
      </c>
      <c r="L49" s="33">
        <f t="shared" si="9"/>
        <v>24150</v>
      </c>
      <c r="M49" s="32">
        <f t="shared" si="28"/>
        <v>0</v>
      </c>
      <c r="N49" s="33">
        <f t="shared" si="10"/>
        <v>0</v>
      </c>
      <c r="O49" s="34">
        <f t="shared" si="32"/>
        <v>0</v>
      </c>
      <c r="P49" s="32">
        <f t="shared" si="11"/>
        <v>0</v>
      </c>
      <c r="Q49" s="33">
        <f t="shared" si="12"/>
        <v>0</v>
      </c>
      <c r="R49" s="33">
        <f t="shared" si="13"/>
        <v>0</v>
      </c>
      <c r="S49" s="33">
        <f t="shared" si="14"/>
        <v>0</v>
      </c>
      <c r="T49" s="33">
        <f t="shared" si="15"/>
        <v>0</v>
      </c>
      <c r="U49" s="4">
        <f t="shared" si="16"/>
        <v>0</v>
      </c>
      <c r="V49" s="38">
        <f t="shared" si="17"/>
        <v>0</v>
      </c>
      <c r="W49" s="39">
        <f t="shared" si="18"/>
        <v>0</v>
      </c>
      <c r="X49" s="4">
        <f t="shared" si="19"/>
        <v>0</v>
      </c>
      <c r="Y49" s="4">
        <f t="shared" si="20"/>
        <v>0</v>
      </c>
      <c r="Z49" s="4">
        <f t="shared" si="21"/>
        <v>0</v>
      </c>
      <c r="AA49" s="4">
        <f t="shared" si="22"/>
        <v>0</v>
      </c>
      <c r="AB49" s="4">
        <f t="shared" si="23"/>
        <v>0</v>
      </c>
      <c r="AC49" s="38">
        <f t="shared" si="30"/>
        <v>0</v>
      </c>
      <c r="AD49" s="40">
        <f t="shared" si="24"/>
        <v>0</v>
      </c>
    </row>
    <row r="50" spans="1:30" x14ac:dyDescent="0.3">
      <c r="A50" s="32">
        <f t="shared" si="25"/>
        <v>15500</v>
      </c>
      <c r="B50" s="33">
        <f t="shared" si="2"/>
        <v>0</v>
      </c>
      <c r="C50" s="33">
        <f t="shared" si="3"/>
        <v>15500</v>
      </c>
      <c r="D50" s="34">
        <f t="shared" si="4"/>
        <v>0</v>
      </c>
      <c r="E50" s="32">
        <f t="shared" si="5"/>
        <v>36000</v>
      </c>
      <c r="F50" s="33">
        <f t="shared" si="26"/>
        <v>33500</v>
      </c>
      <c r="G50" s="33">
        <f t="shared" si="6"/>
        <v>4250</v>
      </c>
      <c r="H50" s="33">
        <f t="shared" si="7"/>
        <v>0</v>
      </c>
      <c r="I50" s="33">
        <f t="shared" si="33"/>
        <v>4250</v>
      </c>
      <c r="J50" s="42">
        <f t="shared" si="8"/>
        <v>0.5</v>
      </c>
      <c r="K50" s="33">
        <f t="shared" si="31"/>
        <v>19750</v>
      </c>
      <c r="L50" s="33">
        <f t="shared" si="9"/>
        <v>24150</v>
      </c>
      <c r="M50" s="32">
        <f t="shared" si="28"/>
        <v>0</v>
      </c>
      <c r="N50" s="33">
        <f t="shared" si="10"/>
        <v>0</v>
      </c>
      <c r="O50" s="34">
        <f t="shared" si="32"/>
        <v>0</v>
      </c>
      <c r="P50" s="32">
        <f t="shared" si="11"/>
        <v>0</v>
      </c>
      <c r="Q50" s="33">
        <f t="shared" si="12"/>
        <v>0</v>
      </c>
      <c r="R50" s="33">
        <f t="shared" si="13"/>
        <v>0</v>
      </c>
      <c r="S50" s="33">
        <f t="shared" si="14"/>
        <v>0</v>
      </c>
      <c r="T50" s="33">
        <f t="shared" si="15"/>
        <v>0</v>
      </c>
      <c r="U50" s="4">
        <f t="shared" si="16"/>
        <v>0</v>
      </c>
      <c r="V50" s="38">
        <f t="shared" si="17"/>
        <v>0</v>
      </c>
      <c r="W50" s="39">
        <f t="shared" si="18"/>
        <v>0</v>
      </c>
      <c r="X50" s="4">
        <f t="shared" si="19"/>
        <v>0</v>
      </c>
      <c r="Y50" s="4">
        <f t="shared" si="20"/>
        <v>0</v>
      </c>
      <c r="Z50" s="4">
        <f t="shared" si="21"/>
        <v>0</v>
      </c>
      <c r="AA50" s="4">
        <f t="shared" si="22"/>
        <v>0</v>
      </c>
      <c r="AB50" s="4">
        <f t="shared" si="23"/>
        <v>0</v>
      </c>
      <c r="AC50" s="38">
        <f t="shared" si="30"/>
        <v>0</v>
      </c>
      <c r="AD50" s="40">
        <f t="shared" si="24"/>
        <v>0</v>
      </c>
    </row>
    <row r="51" spans="1:30" x14ac:dyDescent="0.3">
      <c r="A51" s="32">
        <f t="shared" si="25"/>
        <v>16000</v>
      </c>
      <c r="B51" s="33">
        <f t="shared" si="2"/>
        <v>0</v>
      </c>
      <c r="C51" s="33">
        <f t="shared" si="3"/>
        <v>16000</v>
      </c>
      <c r="D51" s="34">
        <f t="shared" si="4"/>
        <v>0</v>
      </c>
      <c r="E51" s="32">
        <f t="shared" si="5"/>
        <v>36000</v>
      </c>
      <c r="F51" s="33">
        <f t="shared" si="26"/>
        <v>34000</v>
      </c>
      <c r="G51" s="33">
        <f t="shared" si="6"/>
        <v>4500</v>
      </c>
      <c r="H51" s="33">
        <f t="shared" si="7"/>
        <v>0</v>
      </c>
      <c r="I51" s="33">
        <f t="shared" si="33"/>
        <v>4500</v>
      </c>
      <c r="J51" s="42">
        <f t="shared" ref="J51:J82" si="34">(I52-I51)/B$12</f>
        <v>0.85</v>
      </c>
      <c r="K51" s="33">
        <f t="shared" si="31"/>
        <v>20500</v>
      </c>
      <c r="L51" s="33">
        <f t="shared" si="9"/>
        <v>24150</v>
      </c>
      <c r="M51" s="32">
        <f t="shared" si="28"/>
        <v>0</v>
      </c>
      <c r="N51" s="33">
        <f t="shared" si="10"/>
        <v>0</v>
      </c>
      <c r="O51" s="34">
        <f t="shared" si="32"/>
        <v>0</v>
      </c>
      <c r="P51" s="32">
        <f t="shared" si="11"/>
        <v>0</v>
      </c>
      <c r="Q51" s="33">
        <f t="shared" si="12"/>
        <v>0</v>
      </c>
      <c r="R51" s="33">
        <f t="shared" si="13"/>
        <v>0</v>
      </c>
      <c r="S51" s="33">
        <f t="shared" si="14"/>
        <v>0</v>
      </c>
      <c r="T51" s="33">
        <f t="shared" si="15"/>
        <v>0</v>
      </c>
      <c r="U51" s="4">
        <f t="shared" si="16"/>
        <v>0</v>
      </c>
      <c r="V51" s="38">
        <f t="shared" si="17"/>
        <v>0</v>
      </c>
      <c r="W51" s="39">
        <f t="shared" si="18"/>
        <v>0</v>
      </c>
      <c r="X51" s="4">
        <f t="shared" si="19"/>
        <v>0</v>
      </c>
      <c r="Y51" s="4">
        <f t="shared" si="20"/>
        <v>0</v>
      </c>
      <c r="Z51" s="4">
        <f t="shared" si="21"/>
        <v>0</v>
      </c>
      <c r="AA51" s="4">
        <f t="shared" si="22"/>
        <v>0</v>
      </c>
      <c r="AB51" s="4">
        <f t="shared" si="23"/>
        <v>0</v>
      </c>
      <c r="AC51" s="38">
        <f t="shared" si="30"/>
        <v>0</v>
      </c>
      <c r="AD51" s="40">
        <f t="shared" ref="AD51:AD82" si="35">(AC52-AC51)/B$12</f>
        <v>0</v>
      </c>
    </row>
    <row r="52" spans="1:30" x14ac:dyDescent="0.3">
      <c r="A52" s="32">
        <f t="shared" ref="A52:A83" si="36">A51+B$12</f>
        <v>16500</v>
      </c>
      <c r="B52" s="33">
        <f t="shared" si="2"/>
        <v>0</v>
      </c>
      <c r="C52" s="33">
        <f t="shared" si="3"/>
        <v>16500</v>
      </c>
      <c r="D52" s="34">
        <f t="shared" si="4"/>
        <v>0</v>
      </c>
      <c r="E52" s="32">
        <f t="shared" si="5"/>
        <v>36000</v>
      </c>
      <c r="F52" s="33">
        <f t="shared" si="26"/>
        <v>34500</v>
      </c>
      <c r="G52" s="33">
        <f t="shared" si="6"/>
        <v>4500</v>
      </c>
      <c r="H52" s="33">
        <f t="shared" si="7"/>
        <v>425</v>
      </c>
      <c r="I52" s="33">
        <f t="shared" si="33"/>
        <v>4925</v>
      </c>
      <c r="J52" s="42">
        <f t="shared" si="34"/>
        <v>0.85</v>
      </c>
      <c r="K52" s="33">
        <f t="shared" si="31"/>
        <v>21425</v>
      </c>
      <c r="L52" s="33">
        <f t="shared" si="9"/>
        <v>24150</v>
      </c>
      <c r="M52" s="32">
        <f t="shared" si="28"/>
        <v>0</v>
      </c>
      <c r="N52" s="33">
        <f t="shared" si="10"/>
        <v>0</v>
      </c>
      <c r="O52" s="34">
        <f t="shared" si="32"/>
        <v>0</v>
      </c>
      <c r="P52" s="32">
        <f t="shared" si="11"/>
        <v>0</v>
      </c>
      <c r="Q52" s="33">
        <f t="shared" si="12"/>
        <v>0</v>
      </c>
      <c r="R52" s="33">
        <f t="shared" si="13"/>
        <v>0</v>
      </c>
      <c r="S52" s="33">
        <f t="shared" si="14"/>
        <v>0</v>
      </c>
      <c r="T52" s="33">
        <f t="shared" si="15"/>
        <v>0</v>
      </c>
      <c r="U52" s="4">
        <f t="shared" si="16"/>
        <v>0</v>
      </c>
      <c r="V52" s="38">
        <f t="shared" si="17"/>
        <v>0</v>
      </c>
      <c r="W52" s="39">
        <f t="shared" si="18"/>
        <v>0</v>
      </c>
      <c r="X52" s="4">
        <f t="shared" si="19"/>
        <v>0</v>
      </c>
      <c r="Y52" s="4">
        <f t="shared" si="20"/>
        <v>0</v>
      </c>
      <c r="Z52" s="4">
        <f t="shared" si="21"/>
        <v>0</v>
      </c>
      <c r="AA52" s="4">
        <f t="shared" si="22"/>
        <v>0</v>
      </c>
      <c r="AB52" s="4">
        <f t="shared" si="23"/>
        <v>0</v>
      </c>
      <c r="AC52" s="38">
        <f t="shared" si="30"/>
        <v>0</v>
      </c>
      <c r="AD52" s="40">
        <f t="shared" si="35"/>
        <v>0</v>
      </c>
    </row>
    <row r="53" spans="1:30" x14ac:dyDescent="0.3">
      <c r="A53" s="32">
        <f t="shared" si="36"/>
        <v>17000</v>
      </c>
      <c r="B53" s="33">
        <f t="shared" si="2"/>
        <v>0</v>
      </c>
      <c r="C53" s="33">
        <f t="shared" si="3"/>
        <v>17000</v>
      </c>
      <c r="D53" s="34">
        <f t="shared" si="4"/>
        <v>0</v>
      </c>
      <c r="E53" s="32">
        <f t="shared" si="5"/>
        <v>36000</v>
      </c>
      <c r="F53" s="33">
        <f t="shared" si="26"/>
        <v>35000</v>
      </c>
      <c r="G53" s="33">
        <f t="shared" si="6"/>
        <v>4500</v>
      </c>
      <c r="H53" s="33">
        <f t="shared" si="7"/>
        <v>850</v>
      </c>
      <c r="I53" s="33">
        <f t="shared" si="33"/>
        <v>5350</v>
      </c>
      <c r="J53" s="42">
        <f t="shared" si="34"/>
        <v>0.85</v>
      </c>
      <c r="K53" s="33">
        <f t="shared" si="31"/>
        <v>22350</v>
      </c>
      <c r="L53" s="33">
        <f t="shared" si="9"/>
        <v>24150</v>
      </c>
      <c r="M53" s="32">
        <f t="shared" si="28"/>
        <v>0</v>
      </c>
      <c r="N53" s="33">
        <f t="shared" si="10"/>
        <v>0</v>
      </c>
      <c r="O53" s="34">
        <f t="shared" si="32"/>
        <v>0</v>
      </c>
      <c r="P53" s="32">
        <f t="shared" si="11"/>
        <v>0</v>
      </c>
      <c r="Q53" s="33">
        <f t="shared" si="12"/>
        <v>0</v>
      </c>
      <c r="R53" s="33">
        <f t="shared" si="13"/>
        <v>0</v>
      </c>
      <c r="S53" s="33">
        <f t="shared" si="14"/>
        <v>0</v>
      </c>
      <c r="T53" s="33">
        <f t="shared" si="15"/>
        <v>0</v>
      </c>
      <c r="U53" s="4">
        <f t="shared" si="16"/>
        <v>0</v>
      </c>
      <c r="V53" s="38">
        <f t="shared" si="17"/>
        <v>0</v>
      </c>
      <c r="W53" s="39">
        <f t="shared" si="18"/>
        <v>0</v>
      </c>
      <c r="X53" s="4">
        <f t="shared" si="19"/>
        <v>0</v>
      </c>
      <c r="Y53" s="4">
        <f t="shared" si="20"/>
        <v>0</v>
      </c>
      <c r="Z53" s="4">
        <f t="shared" si="21"/>
        <v>0</v>
      </c>
      <c r="AA53" s="4">
        <f t="shared" si="22"/>
        <v>0</v>
      </c>
      <c r="AB53" s="4">
        <f t="shared" si="23"/>
        <v>0</v>
      </c>
      <c r="AC53" s="38">
        <f t="shared" si="30"/>
        <v>0</v>
      </c>
      <c r="AD53" s="40">
        <f t="shared" si="35"/>
        <v>0</v>
      </c>
    </row>
    <row r="54" spans="1:30" x14ac:dyDescent="0.3">
      <c r="A54" s="32">
        <f t="shared" si="36"/>
        <v>17500</v>
      </c>
      <c r="B54" s="33">
        <f t="shared" si="2"/>
        <v>0</v>
      </c>
      <c r="C54" s="33">
        <f t="shared" si="3"/>
        <v>17500</v>
      </c>
      <c r="D54" s="34">
        <f t="shared" si="4"/>
        <v>0</v>
      </c>
      <c r="E54" s="32">
        <f t="shared" si="5"/>
        <v>36000</v>
      </c>
      <c r="F54" s="33">
        <f t="shared" si="26"/>
        <v>35500</v>
      </c>
      <c r="G54" s="33">
        <f t="shared" si="6"/>
        <v>4500</v>
      </c>
      <c r="H54" s="33">
        <f t="shared" si="7"/>
        <v>1275</v>
      </c>
      <c r="I54" s="33">
        <f t="shared" si="33"/>
        <v>5775</v>
      </c>
      <c r="J54" s="42">
        <f t="shared" si="34"/>
        <v>0.85</v>
      </c>
      <c r="K54" s="33">
        <f t="shared" si="31"/>
        <v>23275</v>
      </c>
      <c r="L54" s="33">
        <f t="shared" si="9"/>
        <v>24150</v>
      </c>
      <c r="M54" s="32">
        <f t="shared" si="28"/>
        <v>0</v>
      </c>
      <c r="N54" s="33">
        <f t="shared" si="10"/>
        <v>0</v>
      </c>
      <c r="O54" s="34">
        <f t="shared" si="32"/>
        <v>0</v>
      </c>
      <c r="P54" s="32">
        <f t="shared" si="11"/>
        <v>0</v>
      </c>
      <c r="Q54" s="33">
        <f t="shared" si="12"/>
        <v>0</v>
      </c>
      <c r="R54" s="33">
        <f t="shared" si="13"/>
        <v>0</v>
      </c>
      <c r="S54" s="33">
        <f t="shared" si="14"/>
        <v>0</v>
      </c>
      <c r="T54" s="33">
        <f t="shared" si="15"/>
        <v>0</v>
      </c>
      <c r="U54" s="4">
        <f t="shared" si="16"/>
        <v>0</v>
      </c>
      <c r="V54" s="38">
        <f t="shared" si="17"/>
        <v>0</v>
      </c>
      <c r="W54" s="39">
        <f t="shared" si="18"/>
        <v>0</v>
      </c>
      <c r="X54" s="4">
        <f t="shared" si="19"/>
        <v>0</v>
      </c>
      <c r="Y54" s="4">
        <f t="shared" si="20"/>
        <v>0</v>
      </c>
      <c r="Z54" s="4">
        <f t="shared" si="21"/>
        <v>0</v>
      </c>
      <c r="AA54" s="4">
        <f t="shared" si="22"/>
        <v>0</v>
      </c>
      <c r="AB54" s="4">
        <f t="shared" si="23"/>
        <v>0</v>
      </c>
      <c r="AC54" s="38">
        <f t="shared" si="30"/>
        <v>0</v>
      </c>
      <c r="AD54" s="40">
        <f t="shared" si="35"/>
        <v>0.01</v>
      </c>
    </row>
    <row r="55" spans="1:30" x14ac:dyDescent="0.3">
      <c r="A55" s="32">
        <f t="shared" si="36"/>
        <v>18000</v>
      </c>
      <c r="B55" s="33">
        <f t="shared" si="2"/>
        <v>0</v>
      </c>
      <c r="C55" s="33">
        <f t="shared" si="3"/>
        <v>18000</v>
      </c>
      <c r="D55" s="34">
        <f t="shared" si="4"/>
        <v>0</v>
      </c>
      <c r="E55" s="32">
        <f t="shared" si="5"/>
        <v>36000</v>
      </c>
      <c r="F55" s="33">
        <f t="shared" si="26"/>
        <v>36000</v>
      </c>
      <c r="G55" s="33">
        <f t="shared" si="6"/>
        <v>4500</v>
      </c>
      <c r="H55" s="33">
        <f t="shared" si="7"/>
        <v>1700</v>
      </c>
      <c r="I55" s="33">
        <f t="shared" si="33"/>
        <v>6200</v>
      </c>
      <c r="J55" s="42">
        <f t="shared" si="34"/>
        <v>0.85</v>
      </c>
      <c r="K55" s="33">
        <f t="shared" si="31"/>
        <v>24200</v>
      </c>
      <c r="L55" s="33">
        <f t="shared" si="9"/>
        <v>24150</v>
      </c>
      <c r="M55" s="32">
        <f t="shared" si="28"/>
        <v>50</v>
      </c>
      <c r="N55" s="33">
        <f t="shared" si="10"/>
        <v>0</v>
      </c>
      <c r="O55" s="34">
        <f t="shared" si="32"/>
        <v>50</v>
      </c>
      <c r="P55" s="32">
        <f t="shared" si="11"/>
        <v>0</v>
      </c>
      <c r="Q55" s="33">
        <f t="shared" si="12"/>
        <v>0</v>
      </c>
      <c r="R55" s="33">
        <f t="shared" si="13"/>
        <v>0</v>
      </c>
      <c r="S55" s="33">
        <f t="shared" si="14"/>
        <v>0</v>
      </c>
      <c r="T55" s="33">
        <f t="shared" si="15"/>
        <v>50</v>
      </c>
      <c r="U55" s="4">
        <f t="shared" si="16"/>
        <v>0</v>
      </c>
      <c r="V55" s="38">
        <f t="shared" si="17"/>
        <v>0</v>
      </c>
      <c r="W55" s="39">
        <f t="shared" si="18"/>
        <v>0</v>
      </c>
      <c r="X55" s="4">
        <f t="shared" si="19"/>
        <v>0</v>
      </c>
      <c r="Y55" s="4">
        <f t="shared" si="20"/>
        <v>0</v>
      </c>
      <c r="Z55" s="4">
        <f t="shared" si="21"/>
        <v>0</v>
      </c>
      <c r="AA55" s="4">
        <f t="shared" si="22"/>
        <v>5</v>
      </c>
      <c r="AB55" s="4">
        <f t="shared" si="23"/>
        <v>0</v>
      </c>
      <c r="AC55" s="38">
        <f t="shared" si="30"/>
        <v>5</v>
      </c>
      <c r="AD55" s="40">
        <f t="shared" si="35"/>
        <v>0.185</v>
      </c>
    </row>
    <row r="56" spans="1:30" x14ac:dyDescent="0.3">
      <c r="A56" s="32">
        <f t="shared" si="36"/>
        <v>18500</v>
      </c>
      <c r="B56" s="33">
        <f t="shared" si="2"/>
        <v>0</v>
      </c>
      <c r="C56" s="33">
        <f t="shared" si="3"/>
        <v>18500</v>
      </c>
      <c r="D56" s="34">
        <f t="shared" si="4"/>
        <v>0</v>
      </c>
      <c r="E56" s="32">
        <f t="shared" si="5"/>
        <v>36000</v>
      </c>
      <c r="F56" s="33">
        <f t="shared" si="26"/>
        <v>36500</v>
      </c>
      <c r="G56" s="33">
        <f t="shared" si="6"/>
        <v>4500</v>
      </c>
      <c r="H56" s="33">
        <f t="shared" si="7"/>
        <v>2125</v>
      </c>
      <c r="I56" s="33">
        <f t="shared" si="33"/>
        <v>6625</v>
      </c>
      <c r="J56" s="42">
        <f t="shared" si="34"/>
        <v>0.85</v>
      </c>
      <c r="K56" s="33">
        <f t="shared" si="31"/>
        <v>25125</v>
      </c>
      <c r="L56" s="33">
        <f t="shared" si="9"/>
        <v>24150</v>
      </c>
      <c r="M56" s="32">
        <f t="shared" si="28"/>
        <v>975</v>
      </c>
      <c r="N56" s="33">
        <f t="shared" si="10"/>
        <v>0</v>
      </c>
      <c r="O56" s="34">
        <f t="shared" si="32"/>
        <v>975</v>
      </c>
      <c r="P56" s="32">
        <f t="shared" si="11"/>
        <v>0</v>
      </c>
      <c r="Q56" s="33">
        <f t="shared" si="12"/>
        <v>0</v>
      </c>
      <c r="R56" s="33">
        <f t="shared" si="13"/>
        <v>0</v>
      </c>
      <c r="S56" s="33">
        <f t="shared" si="14"/>
        <v>0</v>
      </c>
      <c r="T56" s="33">
        <f t="shared" si="15"/>
        <v>975</v>
      </c>
      <c r="U56" s="4">
        <f t="shared" si="16"/>
        <v>0</v>
      </c>
      <c r="V56" s="38">
        <f t="shared" si="17"/>
        <v>0</v>
      </c>
      <c r="W56" s="39">
        <f t="shared" si="18"/>
        <v>0</v>
      </c>
      <c r="X56" s="4">
        <f t="shared" si="19"/>
        <v>0</v>
      </c>
      <c r="Y56" s="4">
        <f t="shared" si="20"/>
        <v>0</v>
      </c>
      <c r="Z56" s="4">
        <f t="shared" si="21"/>
        <v>0</v>
      </c>
      <c r="AA56" s="4">
        <f t="shared" si="22"/>
        <v>97.5</v>
      </c>
      <c r="AB56" s="4">
        <f t="shared" si="23"/>
        <v>0</v>
      </c>
      <c r="AC56" s="38">
        <f t="shared" si="30"/>
        <v>97.5</v>
      </c>
      <c r="AD56" s="40">
        <f t="shared" si="35"/>
        <v>0.185</v>
      </c>
    </row>
    <row r="57" spans="1:30" x14ac:dyDescent="0.3">
      <c r="A57" s="32">
        <f t="shared" si="36"/>
        <v>19000</v>
      </c>
      <c r="B57" s="33">
        <f t="shared" si="2"/>
        <v>0</v>
      </c>
      <c r="C57" s="33">
        <f t="shared" si="3"/>
        <v>19000</v>
      </c>
      <c r="D57" s="34">
        <f t="shared" si="4"/>
        <v>0</v>
      </c>
      <c r="E57" s="32">
        <f t="shared" si="5"/>
        <v>36000</v>
      </c>
      <c r="F57" s="33">
        <f t="shared" si="26"/>
        <v>37000</v>
      </c>
      <c r="G57" s="33">
        <f t="shared" si="6"/>
        <v>4500</v>
      </c>
      <c r="H57" s="33">
        <f t="shared" si="7"/>
        <v>2550</v>
      </c>
      <c r="I57" s="33">
        <f t="shared" si="33"/>
        <v>7050</v>
      </c>
      <c r="J57" s="42">
        <f t="shared" si="34"/>
        <v>0.85</v>
      </c>
      <c r="K57" s="33">
        <f t="shared" si="31"/>
        <v>26050</v>
      </c>
      <c r="L57" s="33">
        <f t="shared" si="9"/>
        <v>24150</v>
      </c>
      <c r="M57" s="32">
        <f t="shared" si="28"/>
        <v>1900</v>
      </c>
      <c r="N57" s="33">
        <f t="shared" si="10"/>
        <v>0</v>
      </c>
      <c r="O57" s="34">
        <f t="shared" si="32"/>
        <v>1900</v>
      </c>
      <c r="P57" s="32">
        <f t="shared" si="11"/>
        <v>0</v>
      </c>
      <c r="Q57" s="33">
        <f t="shared" si="12"/>
        <v>0</v>
      </c>
      <c r="R57" s="33">
        <f t="shared" si="13"/>
        <v>0</v>
      </c>
      <c r="S57" s="33">
        <f t="shared" si="14"/>
        <v>0</v>
      </c>
      <c r="T57" s="33">
        <f t="shared" si="15"/>
        <v>1900</v>
      </c>
      <c r="U57" s="4">
        <f t="shared" si="16"/>
        <v>0</v>
      </c>
      <c r="V57" s="38">
        <f t="shared" si="17"/>
        <v>0</v>
      </c>
      <c r="W57" s="39">
        <f t="shared" si="18"/>
        <v>0</v>
      </c>
      <c r="X57" s="4">
        <f t="shared" si="19"/>
        <v>0</v>
      </c>
      <c r="Y57" s="4">
        <f t="shared" si="20"/>
        <v>0</v>
      </c>
      <c r="Z57" s="4">
        <f t="shared" si="21"/>
        <v>0</v>
      </c>
      <c r="AA57" s="4">
        <f t="shared" si="22"/>
        <v>190</v>
      </c>
      <c r="AB57" s="4">
        <f t="shared" si="23"/>
        <v>0</v>
      </c>
      <c r="AC57" s="38">
        <f t="shared" si="30"/>
        <v>190</v>
      </c>
      <c r="AD57" s="40">
        <f t="shared" si="35"/>
        <v>0.185</v>
      </c>
    </row>
    <row r="58" spans="1:30" x14ac:dyDescent="0.3">
      <c r="A58" s="32">
        <f t="shared" si="36"/>
        <v>19500</v>
      </c>
      <c r="B58" s="33">
        <f t="shared" si="2"/>
        <v>0</v>
      </c>
      <c r="C58" s="33">
        <f t="shared" si="3"/>
        <v>19500</v>
      </c>
      <c r="D58" s="34">
        <f t="shared" si="4"/>
        <v>0</v>
      </c>
      <c r="E58" s="32">
        <f t="shared" si="5"/>
        <v>36000</v>
      </c>
      <c r="F58" s="33">
        <f t="shared" si="26"/>
        <v>37500</v>
      </c>
      <c r="G58" s="33">
        <f t="shared" si="6"/>
        <v>4500</v>
      </c>
      <c r="H58" s="33">
        <f t="shared" si="7"/>
        <v>2975</v>
      </c>
      <c r="I58" s="33">
        <f t="shared" si="33"/>
        <v>7475</v>
      </c>
      <c r="J58" s="42">
        <f t="shared" si="34"/>
        <v>0.85</v>
      </c>
      <c r="K58" s="33">
        <f t="shared" si="31"/>
        <v>26975</v>
      </c>
      <c r="L58" s="33">
        <f t="shared" si="9"/>
        <v>24150</v>
      </c>
      <c r="M58" s="32">
        <f t="shared" si="28"/>
        <v>2825</v>
      </c>
      <c r="N58" s="33">
        <f t="shared" si="10"/>
        <v>0</v>
      </c>
      <c r="O58" s="34">
        <f t="shared" si="32"/>
        <v>2825</v>
      </c>
      <c r="P58" s="32">
        <f t="shared" si="11"/>
        <v>0</v>
      </c>
      <c r="Q58" s="33">
        <f t="shared" si="12"/>
        <v>0</v>
      </c>
      <c r="R58" s="33">
        <f t="shared" si="13"/>
        <v>0</v>
      </c>
      <c r="S58" s="33">
        <f t="shared" si="14"/>
        <v>0</v>
      </c>
      <c r="T58" s="33">
        <f t="shared" si="15"/>
        <v>2825</v>
      </c>
      <c r="U58" s="4">
        <f t="shared" si="16"/>
        <v>0</v>
      </c>
      <c r="V58" s="38">
        <f t="shared" si="17"/>
        <v>0</v>
      </c>
      <c r="W58" s="39">
        <f t="shared" si="18"/>
        <v>0</v>
      </c>
      <c r="X58" s="4">
        <f t="shared" si="19"/>
        <v>0</v>
      </c>
      <c r="Y58" s="4">
        <f t="shared" si="20"/>
        <v>0</v>
      </c>
      <c r="Z58" s="4">
        <f t="shared" si="21"/>
        <v>0</v>
      </c>
      <c r="AA58" s="4">
        <f t="shared" si="22"/>
        <v>282.5</v>
      </c>
      <c r="AB58" s="4">
        <f t="shared" si="23"/>
        <v>0</v>
      </c>
      <c r="AC58" s="38">
        <f t="shared" si="30"/>
        <v>282.5</v>
      </c>
      <c r="AD58" s="40">
        <f t="shared" si="35"/>
        <v>0.185</v>
      </c>
    </row>
    <row r="59" spans="1:30" x14ac:dyDescent="0.3">
      <c r="A59" s="32">
        <f t="shared" si="36"/>
        <v>20000</v>
      </c>
      <c r="B59" s="33">
        <f t="shared" si="2"/>
        <v>0</v>
      </c>
      <c r="C59" s="33">
        <f t="shared" si="3"/>
        <v>20000</v>
      </c>
      <c r="D59" s="34">
        <f t="shared" si="4"/>
        <v>0</v>
      </c>
      <c r="E59" s="32">
        <f t="shared" si="5"/>
        <v>36000</v>
      </c>
      <c r="F59" s="33">
        <f t="shared" si="26"/>
        <v>38000</v>
      </c>
      <c r="G59" s="33">
        <f t="shared" si="6"/>
        <v>4500</v>
      </c>
      <c r="H59" s="33">
        <f t="shared" si="7"/>
        <v>3400</v>
      </c>
      <c r="I59" s="33">
        <f t="shared" si="33"/>
        <v>7900</v>
      </c>
      <c r="J59" s="42">
        <f t="shared" si="34"/>
        <v>0.85</v>
      </c>
      <c r="K59" s="33">
        <f t="shared" si="31"/>
        <v>27900</v>
      </c>
      <c r="L59" s="33">
        <f t="shared" si="9"/>
        <v>24150</v>
      </c>
      <c r="M59" s="32">
        <f t="shared" si="28"/>
        <v>3750</v>
      </c>
      <c r="N59" s="33">
        <f t="shared" si="10"/>
        <v>0</v>
      </c>
      <c r="O59" s="34">
        <f t="shared" si="32"/>
        <v>3750</v>
      </c>
      <c r="P59" s="32">
        <f t="shared" si="11"/>
        <v>0</v>
      </c>
      <c r="Q59" s="33">
        <f t="shared" si="12"/>
        <v>0</v>
      </c>
      <c r="R59" s="33">
        <f t="shared" si="13"/>
        <v>0</v>
      </c>
      <c r="S59" s="33">
        <f t="shared" si="14"/>
        <v>0</v>
      </c>
      <c r="T59" s="33">
        <f t="shared" si="15"/>
        <v>3750</v>
      </c>
      <c r="U59" s="4">
        <f t="shared" si="16"/>
        <v>0</v>
      </c>
      <c r="V59" s="38">
        <f t="shared" si="17"/>
        <v>0</v>
      </c>
      <c r="W59" s="39">
        <f t="shared" si="18"/>
        <v>0</v>
      </c>
      <c r="X59" s="4">
        <f t="shared" si="19"/>
        <v>0</v>
      </c>
      <c r="Y59" s="4">
        <f t="shared" si="20"/>
        <v>0</v>
      </c>
      <c r="Z59" s="4">
        <f t="shared" si="21"/>
        <v>0</v>
      </c>
      <c r="AA59" s="4">
        <f t="shared" si="22"/>
        <v>375</v>
      </c>
      <c r="AB59" s="4">
        <f t="shared" si="23"/>
        <v>0</v>
      </c>
      <c r="AC59" s="38">
        <f t="shared" si="30"/>
        <v>375</v>
      </c>
      <c r="AD59" s="40">
        <f t="shared" si="35"/>
        <v>0.185</v>
      </c>
    </row>
    <row r="60" spans="1:30" x14ac:dyDescent="0.3">
      <c r="A60" s="32">
        <f t="shared" si="36"/>
        <v>20500</v>
      </c>
      <c r="B60" s="33">
        <f t="shared" si="2"/>
        <v>0</v>
      </c>
      <c r="C60" s="33">
        <f t="shared" si="3"/>
        <v>20500</v>
      </c>
      <c r="D60" s="34">
        <f t="shared" si="4"/>
        <v>0</v>
      </c>
      <c r="E60" s="32">
        <f t="shared" si="5"/>
        <v>36000</v>
      </c>
      <c r="F60" s="33">
        <f t="shared" si="26"/>
        <v>38500</v>
      </c>
      <c r="G60" s="33">
        <f t="shared" si="6"/>
        <v>4500</v>
      </c>
      <c r="H60" s="33">
        <f t="shared" si="7"/>
        <v>3825</v>
      </c>
      <c r="I60" s="33">
        <f t="shared" si="33"/>
        <v>8325</v>
      </c>
      <c r="J60" s="42">
        <f t="shared" si="34"/>
        <v>0.85</v>
      </c>
      <c r="K60" s="33">
        <f t="shared" si="31"/>
        <v>28825</v>
      </c>
      <c r="L60" s="33">
        <f t="shared" si="9"/>
        <v>24150</v>
      </c>
      <c r="M60" s="32">
        <f t="shared" si="28"/>
        <v>4675</v>
      </c>
      <c r="N60" s="33">
        <f t="shared" si="10"/>
        <v>0</v>
      </c>
      <c r="O60" s="34">
        <f t="shared" si="32"/>
        <v>4675</v>
      </c>
      <c r="P60" s="32">
        <f t="shared" si="11"/>
        <v>0</v>
      </c>
      <c r="Q60" s="33">
        <f t="shared" si="12"/>
        <v>0</v>
      </c>
      <c r="R60" s="33">
        <f t="shared" si="13"/>
        <v>0</v>
      </c>
      <c r="S60" s="33">
        <f t="shared" si="14"/>
        <v>0</v>
      </c>
      <c r="T60" s="33">
        <f t="shared" si="15"/>
        <v>4675</v>
      </c>
      <c r="U60" s="4">
        <f t="shared" si="16"/>
        <v>0</v>
      </c>
      <c r="V60" s="38">
        <f t="shared" si="17"/>
        <v>0</v>
      </c>
      <c r="W60" s="39">
        <f t="shared" si="18"/>
        <v>0</v>
      </c>
      <c r="X60" s="4">
        <f t="shared" si="19"/>
        <v>0</v>
      </c>
      <c r="Y60" s="4">
        <f t="shared" si="20"/>
        <v>0</v>
      </c>
      <c r="Z60" s="4">
        <f t="shared" si="21"/>
        <v>0</v>
      </c>
      <c r="AA60" s="4">
        <f t="shared" si="22"/>
        <v>467.5</v>
      </c>
      <c r="AB60" s="4">
        <f t="shared" si="23"/>
        <v>0</v>
      </c>
      <c r="AC60" s="38">
        <f t="shared" si="30"/>
        <v>467.5</v>
      </c>
      <c r="AD60" s="40">
        <f t="shared" si="35"/>
        <v>0.185</v>
      </c>
    </row>
    <row r="61" spans="1:30" x14ac:dyDescent="0.3">
      <c r="A61" s="32">
        <f t="shared" si="36"/>
        <v>21000</v>
      </c>
      <c r="B61" s="33">
        <f t="shared" si="2"/>
        <v>0</v>
      </c>
      <c r="C61" s="33">
        <f t="shared" si="3"/>
        <v>21000</v>
      </c>
      <c r="D61" s="34">
        <f t="shared" si="4"/>
        <v>0</v>
      </c>
      <c r="E61" s="32">
        <f t="shared" si="5"/>
        <v>36000</v>
      </c>
      <c r="F61" s="33">
        <f t="shared" si="26"/>
        <v>39000</v>
      </c>
      <c r="G61" s="33">
        <f t="shared" si="6"/>
        <v>4500</v>
      </c>
      <c r="H61" s="33">
        <f t="shared" si="7"/>
        <v>4250</v>
      </c>
      <c r="I61" s="33">
        <f t="shared" si="33"/>
        <v>8750</v>
      </c>
      <c r="J61" s="42">
        <f t="shared" si="34"/>
        <v>0.85</v>
      </c>
      <c r="K61" s="33">
        <f t="shared" si="31"/>
        <v>29750</v>
      </c>
      <c r="L61" s="33">
        <f t="shared" si="9"/>
        <v>24150</v>
      </c>
      <c r="M61" s="32">
        <f t="shared" si="28"/>
        <v>5600</v>
      </c>
      <c r="N61" s="33">
        <f t="shared" si="10"/>
        <v>0</v>
      </c>
      <c r="O61" s="34">
        <f t="shared" si="32"/>
        <v>5600</v>
      </c>
      <c r="P61" s="32">
        <f t="shared" si="11"/>
        <v>0</v>
      </c>
      <c r="Q61" s="33">
        <f t="shared" si="12"/>
        <v>0</v>
      </c>
      <c r="R61" s="33">
        <f t="shared" si="13"/>
        <v>0</v>
      </c>
      <c r="S61" s="33">
        <f t="shared" si="14"/>
        <v>0</v>
      </c>
      <c r="T61" s="33">
        <f t="shared" si="15"/>
        <v>5600</v>
      </c>
      <c r="U61" s="4">
        <f t="shared" si="16"/>
        <v>0</v>
      </c>
      <c r="V61" s="38">
        <f t="shared" si="17"/>
        <v>0</v>
      </c>
      <c r="W61" s="39">
        <f t="shared" si="18"/>
        <v>0</v>
      </c>
      <c r="X61" s="4">
        <f t="shared" si="19"/>
        <v>0</v>
      </c>
      <c r="Y61" s="4">
        <f t="shared" si="20"/>
        <v>0</v>
      </c>
      <c r="Z61" s="4">
        <f t="shared" si="21"/>
        <v>0</v>
      </c>
      <c r="AA61" s="4">
        <f t="shared" si="22"/>
        <v>560</v>
      </c>
      <c r="AB61" s="4">
        <f t="shared" si="23"/>
        <v>0</v>
      </c>
      <c r="AC61" s="38">
        <f t="shared" si="30"/>
        <v>560</v>
      </c>
      <c r="AD61" s="40">
        <f t="shared" si="35"/>
        <v>0.185</v>
      </c>
    </row>
    <row r="62" spans="1:30" x14ac:dyDescent="0.3">
      <c r="A62" s="32">
        <f t="shared" si="36"/>
        <v>21500</v>
      </c>
      <c r="B62" s="33">
        <f t="shared" si="2"/>
        <v>0</v>
      </c>
      <c r="C62" s="33">
        <f t="shared" si="3"/>
        <v>21500</v>
      </c>
      <c r="D62" s="34">
        <f t="shared" si="4"/>
        <v>0</v>
      </c>
      <c r="E62" s="32">
        <f t="shared" si="5"/>
        <v>36000</v>
      </c>
      <c r="F62" s="33">
        <f t="shared" si="26"/>
        <v>39500</v>
      </c>
      <c r="G62" s="33">
        <f t="shared" si="6"/>
        <v>4500</v>
      </c>
      <c r="H62" s="33">
        <f t="shared" si="7"/>
        <v>4675</v>
      </c>
      <c r="I62" s="33">
        <f t="shared" si="33"/>
        <v>9175</v>
      </c>
      <c r="J62" s="42">
        <f t="shared" si="34"/>
        <v>0.85</v>
      </c>
      <c r="K62" s="33">
        <f t="shared" si="31"/>
        <v>30675</v>
      </c>
      <c r="L62" s="33">
        <f t="shared" si="9"/>
        <v>24150</v>
      </c>
      <c r="M62" s="32">
        <f t="shared" si="28"/>
        <v>6525</v>
      </c>
      <c r="N62" s="33">
        <f t="shared" si="10"/>
        <v>0</v>
      </c>
      <c r="O62" s="34">
        <f t="shared" si="32"/>
        <v>6525</v>
      </c>
      <c r="P62" s="32">
        <f t="shared" si="11"/>
        <v>0</v>
      </c>
      <c r="Q62" s="33">
        <f t="shared" si="12"/>
        <v>0</v>
      </c>
      <c r="R62" s="33">
        <f t="shared" si="13"/>
        <v>0</v>
      </c>
      <c r="S62" s="33">
        <f t="shared" si="14"/>
        <v>0</v>
      </c>
      <c r="T62" s="33">
        <f t="shared" si="15"/>
        <v>6525</v>
      </c>
      <c r="U62" s="4">
        <f t="shared" si="16"/>
        <v>0</v>
      </c>
      <c r="V62" s="38">
        <f t="shared" si="17"/>
        <v>0</v>
      </c>
      <c r="W62" s="39">
        <f t="shared" si="18"/>
        <v>0</v>
      </c>
      <c r="X62" s="4">
        <f t="shared" si="19"/>
        <v>0</v>
      </c>
      <c r="Y62" s="4">
        <f t="shared" si="20"/>
        <v>0</v>
      </c>
      <c r="Z62" s="4">
        <f t="shared" si="21"/>
        <v>0</v>
      </c>
      <c r="AA62" s="4">
        <f t="shared" si="22"/>
        <v>652.5</v>
      </c>
      <c r="AB62" s="4">
        <f t="shared" si="23"/>
        <v>0</v>
      </c>
      <c r="AC62" s="38">
        <f t="shared" si="30"/>
        <v>652.5</v>
      </c>
      <c r="AD62" s="40">
        <f t="shared" si="35"/>
        <v>0.185</v>
      </c>
    </row>
    <row r="63" spans="1:30" x14ac:dyDescent="0.3">
      <c r="A63" s="32">
        <f t="shared" si="36"/>
        <v>22000</v>
      </c>
      <c r="B63" s="33">
        <f t="shared" si="2"/>
        <v>0</v>
      </c>
      <c r="C63" s="33">
        <f t="shared" si="3"/>
        <v>22000</v>
      </c>
      <c r="D63" s="34">
        <f t="shared" si="4"/>
        <v>0</v>
      </c>
      <c r="E63" s="32">
        <f t="shared" si="5"/>
        <v>36000</v>
      </c>
      <c r="F63" s="33">
        <f t="shared" si="26"/>
        <v>40000</v>
      </c>
      <c r="G63" s="33">
        <f t="shared" si="6"/>
        <v>4500</v>
      </c>
      <c r="H63" s="33">
        <f t="shared" si="7"/>
        <v>5100</v>
      </c>
      <c r="I63" s="33">
        <f t="shared" si="33"/>
        <v>9600</v>
      </c>
      <c r="J63" s="42">
        <f t="shared" si="34"/>
        <v>0.85</v>
      </c>
      <c r="K63" s="33">
        <f t="shared" si="31"/>
        <v>31600</v>
      </c>
      <c r="L63" s="33">
        <f t="shared" si="9"/>
        <v>24150</v>
      </c>
      <c r="M63" s="32">
        <f t="shared" si="28"/>
        <v>7450</v>
      </c>
      <c r="N63" s="33">
        <f t="shared" si="10"/>
        <v>0</v>
      </c>
      <c r="O63" s="34">
        <f t="shared" si="32"/>
        <v>7450</v>
      </c>
      <c r="P63" s="32">
        <f t="shared" si="11"/>
        <v>0</v>
      </c>
      <c r="Q63" s="33">
        <f t="shared" si="12"/>
        <v>0</v>
      </c>
      <c r="R63" s="33">
        <f t="shared" si="13"/>
        <v>0</v>
      </c>
      <c r="S63" s="33">
        <f t="shared" si="14"/>
        <v>0</v>
      </c>
      <c r="T63" s="33">
        <f t="shared" si="15"/>
        <v>7450</v>
      </c>
      <c r="U63" s="4">
        <f t="shared" si="16"/>
        <v>0</v>
      </c>
      <c r="V63" s="38">
        <f t="shared" si="17"/>
        <v>0</v>
      </c>
      <c r="W63" s="39">
        <f t="shared" si="18"/>
        <v>0</v>
      </c>
      <c r="X63" s="4">
        <f t="shared" si="19"/>
        <v>0</v>
      </c>
      <c r="Y63" s="4">
        <f t="shared" si="20"/>
        <v>0</v>
      </c>
      <c r="Z63" s="4">
        <f t="shared" si="21"/>
        <v>0</v>
      </c>
      <c r="AA63" s="4">
        <f t="shared" si="22"/>
        <v>745</v>
      </c>
      <c r="AB63" s="4">
        <f t="shared" si="23"/>
        <v>0</v>
      </c>
      <c r="AC63" s="38">
        <f t="shared" si="30"/>
        <v>745</v>
      </c>
      <c r="AD63" s="40">
        <f t="shared" si="35"/>
        <v>0.185</v>
      </c>
    </row>
    <row r="64" spans="1:30" x14ac:dyDescent="0.3">
      <c r="A64" s="32">
        <f t="shared" si="36"/>
        <v>22500</v>
      </c>
      <c r="B64" s="33">
        <f t="shared" si="2"/>
        <v>0</v>
      </c>
      <c r="C64" s="33">
        <f t="shared" si="3"/>
        <v>22500</v>
      </c>
      <c r="D64" s="34">
        <f t="shared" si="4"/>
        <v>0</v>
      </c>
      <c r="E64" s="32">
        <f t="shared" si="5"/>
        <v>36000</v>
      </c>
      <c r="F64" s="33">
        <f t="shared" si="26"/>
        <v>40500</v>
      </c>
      <c r="G64" s="33">
        <f t="shared" si="6"/>
        <v>4500</v>
      </c>
      <c r="H64" s="33">
        <f t="shared" si="7"/>
        <v>5525</v>
      </c>
      <c r="I64" s="33">
        <f t="shared" si="33"/>
        <v>10025</v>
      </c>
      <c r="J64" s="42">
        <f t="shared" si="34"/>
        <v>0.85</v>
      </c>
      <c r="K64" s="33">
        <f t="shared" si="31"/>
        <v>32525</v>
      </c>
      <c r="L64" s="33">
        <f t="shared" si="9"/>
        <v>24150</v>
      </c>
      <c r="M64" s="32">
        <f t="shared" si="28"/>
        <v>8375</v>
      </c>
      <c r="N64" s="33">
        <f t="shared" si="10"/>
        <v>0</v>
      </c>
      <c r="O64" s="34">
        <f t="shared" si="32"/>
        <v>8375</v>
      </c>
      <c r="P64" s="32">
        <f t="shared" si="11"/>
        <v>0</v>
      </c>
      <c r="Q64" s="33">
        <f t="shared" si="12"/>
        <v>0</v>
      </c>
      <c r="R64" s="33">
        <f t="shared" si="13"/>
        <v>0</v>
      </c>
      <c r="S64" s="33">
        <f t="shared" si="14"/>
        <v>0</v>
      </c>
      <c r="T64" s="33">
        <f t="shared" si="15"/>
        <v>8375</v>
      </c>
      <c r="U64" s="4">
        <f t="shared" si="16"/>
        <v>0</v>
      </c>
      <c r="V64" s="38">
        <f t="shared" si="17"/>
        <v>0</v>
      </c>
      <c r="W64" s="39">
        <f t="shared" si="18"/>
        <v>0</v>
      </c>
      <c r="X64" s="4">
        <f t="shared" si="19"/>
        <v>0</v>
      </c>
      <c r="Y64" s="4">
        <f t="shared" si="20"/>
        <v>0</v>
      </c>
      <c r="Z64" s="4">
        <f t="shared" si="21"/>
        <v>0</v>
      </c>
      <c r="AA64" s="4">
        <f t="shared" si="22"/>
        <v>837.5</v>
      </c>
      <c r="AB64" s="4">
        <f t="shared" si="23"/>
        <v>0</v>
      </c>
      <c r="AC64" s="38">
        <f t="shared" si="30"/>
        <v>837.5</v>
      </c>
      <c r="AD64" s="40">
        <f t="shared" si="35"/>
        <v>0.185</v>
      </c>
    </row>
    <row r="65" spans="1:30" x14ac:dyDescent="0.3">
      <c r="A65" s="32">
        <f t="shared" si="36"/>
        <v>23000</v>
      </c>
      <c r="B65" s="33">
        <f t="shared" si="2"/>
        <v>0</v>
      </c>
      <c r="C65" s="33">
        <f t="shared" si="3"/>
        <v>23000</v>
      </c>
      <c r="D65" s="34">
        <f t="shared" si="4"/>
        <v>0</v>
      </c>
      <c r="E65" s="32">
        <f t="shared" si="5"/>
        <v>36000</v>
      </c>
      <c r="F65" s="33">
        <f t="shared" si="26"/>
        <v>41000</v>
      </c>
      <c r="G65" s="33">
        <f t="shared" si="6"/>
        <v>4500</v>
      </c>
      <c r="H65" s="33">
        <f t="shared" si="7"/>
        <v>5950</v>
      </c>
      <c r="I65" s="33">
        <f t="shared" si="33"/>
        <v>10450</v>
      </c>
      <c r="J65" s="42">
        <f t="shared" si="34"/>
        <v>0.85</v>
      </c>
      <c r="K65" s="33">
        <f t="shared" si="31"/>
        <v>33450</v>
      </c>
      <c r="L65" s="33">
        <f t="shared" si="9"/>
        <v>24150</v>
      </c>
      <c r="M65" s="32">
        <f t="shared" si="28"/>
        <v>9300</v>
      </c>
      <c r="N65" s="33">
        <f t="shared" si="10"/>
        <v>0</v>
      </c>
      <c r="O65" s="34">
        <f t="shared" si="32"/>
        <v>9300</v>
      </c>
      <c r="P65" s="32">
        <f t="shared" si="11"/>
        <v>0</v>
      </c>
      <c r="Q65" s="33">
        <f t="shared" si="12"/>
        <v>0</v>
      </c>
      <c r="R65" s="33">
        <f t="shared" si="13"/>
        <v>0</v>
      </c>
      <c r="S65" s="33">
        <f t="shared" si="14"/>
        <v>0</v>
      </c>
      <c r="T65" s="33">
        <f t="shared" si="15"/>
        <v>9300</v>
      </c>
      <c r="U65" s="4">
        <f t="shared" si="16"/>
        <v>0</v>
      </c>
      <c r="V65" s="38">
        <f t="shared" si="17"/>
        <v>0</v>
      </c>
      <c r="W65" s="39">
        <f t="shared" si="18"/>
        <v>0</v>
      </c>
      <c r="X65" s="4">
        <f t="shared" si="19"/>
        <v>0</v>
      </c>
      <c r="Y65" s="4">
        <f t="shared" si="20"/>
        <v>0</v>
      </c>
      <c r="Z65" s="4">
        <f t="shared" si="21"/>
        <v>0</v>
      </c>
      <c r="AA65" s="4">
        <f t="shared" si="22"/>
        <v>930</v>
      </c>
      <c r="AB65" s="4">
        <f t="shared" si="23"/>
        <v>0</v>
      </c>
      <c r="AC65" s="38">
        <f t="shared" si="30"/>
        <v>930</v>
      </c>
      <c r="AD65" s="40">
        <f t="shared" si="35"/>
        <v>0.185</v>
      </c>
    </row>
    <row r="66" spans="1:30" x14ac:dyDescent="0.3">
      <c r="A66" s="32">
        <f t="shared" si="36"/>
        <v>23500</v>
      </c>
      <c r="B66" s="33">
        <f t="shared" si="2"/>
        <v>0</v>
      </c>
      <c r="C66" s="33">
        <f t="shared" si="3"/>
        <v>23500</v>
      </c>
      <c r="D66" s="34">
        <f t="shared" si="4"/>
        <v>0</v>
      </c>
      <c r="E66" s="32">
        <f t="shared" si="5"/>
        <v>36000</v>
      </c>
      <c r="F66" s="33">
        <f t="shared" si="26"/>
        <v>41500</v>
      </c>
      <c r="G66" s="33">
        <f t="shared" si="6"/>
        <v>4500</v>
      </c>
      <c r="H66" s="33">
        <f t="shared" si="7"/>
        <v>6375</v>
      </c>
      <c r="I66" s="33">
        <f t="shared" si="33"/>
        <v>10875</v>
      </c>
      <c r="J66" s="42">
        <f t="shared" si="34"/>
        <v>0.85</v>
      </c>
      <c r="K66" s="33">
        <f t="shared" si="31"/>
        <v>34375</v>
      </c>
      <c r="L66" s="33">
        <f t="shared" si="9"/>
        <v>24150</v>
      </c>
      <c r="M66" s="32">
        <f t="shared" si="28"/>
        <v>10225</v>
      </c>
      <c r="N66" s="33">
        <f t="shared" si="10"/>
        <v>0</v>
      </c>
      <c r="O66" s="34">
        <f t="shared" si="32"/>
        <v>10225</v>
      </c>
      <c r="P66" s="32">
        <f t="shared" si="11"/>
        <v>0</v>
      </c>
      <c r="Q66" s="33">
        <f t="shared" si="12"/>
        <v>0</v>
      </c>
      <c r="R66" s="33">
        <f t="shared" si="13"/>
        <v>0</v>
      </c>
      <c r="S66" s="33">
        <f t="shared" si="14"/>
        <v>0</v>
      </c>
      <c r="T66" s="33">
        <f t="shared" si="15"/>
        <v>10225</v>
      </c>
      <c r="U66" s="4">
        <f t="shared" si="16"/>
        <v>0</v>
      </c>
      <c r="V66" s="38">
        <f t="shared" si="17"/>
        <v>0</v>
      </c>
      <c r="W66" s="39">
        <f t="shared" si="18"/>
        <v>0</v>
      </c>
      <c r="X66" s="4">
        <f t="shared" si="19"/>
        <v>0</v>
      </c>
      <c r="Y66" s="4">
        <f t="shared" si="20"/>
        <v>0</v>
      </c>
      <c r="Z66" s="4">
        <f t="shared" si="21"/>
        <v>0</v>
      </c>
      <c r="AA66" s="4">
        <f t="shared" si="22"/>
        <v>1022.5</v>
      </c>
      <c r="AB66" s="4">
        <f t="shared" si="23"/>
        <v>0</v>
      </c>
      <c r="AC66" s="38">
        <f t="shared" si="30"/>
        <v>1022.5</v>
      </c>
      <c r="AD66" s="40">
        <f t="shared" si="35"/>
        <v>0.185</v>
      </c>
    </row>
    <row r="67" spans="1:30" x14ac:dyDescent="0.3">
      <c r="A67" s="32">
        <f t="shared" si="36"/>
        <v>24000</v>
      </c>
      <c r="B67" s="33">
        <f t="shared" si="2"/>
        <v>0</v>
      </c>
      <c r="C67" s="33">
        <f t="shared" si="3"/>
        <v>24000</v>
      </c>
      <c r="D67" s="34">
        <f t="shared" si="4"/>
        <v>0</v>
      </c>
      <c r="E67" s="32">
        <f t="shared" si="5"/>
        <v>36000</v>
      </c>
      <c r="F67" s="33">
        <f t="shared" si="26"/>
        <v>42000</v>
      </c>
      <c r="G67" s="33">
        <f t="shared" si="6"/>
        <v>4500</v>
      </c>
      <c r="H67" s="33">
        <f t="shared" si="7"/>
        <v>6800</v>
      </c>
      <c r="I67" s="33">
        <f t="shared" si="33"/>
        <v>11300</v>
      </c>
      <c r="J67" s="42">
        <f t="shared" si="34"/>
        <v>0.85</v>
      </c>
      <c r="K67" s="33">
        <f t="shared" si="31"/>
        <v>35300</v>
      </c>
      <c r="L67" s="33">
        <f t="shared" si="9"/>
        <v>24150</v>
      </c>
      <c r="M67" s="32">
        <f t="shared" si="28"/>
        <v>11150</v>
      </c>
      <c r="N67" s="33">
        <f t="shared" si="10"/>
        <v>0</v>
      </c>
      <c r="O67" s="34">
        <f t="shared" si="32"/>
        <v>11150</v>
      </c>
      <c r="P67" s="32">
        <f t="shared" si="11"/>
        <v>0</v>
      </c>
      <c r="Q67" s="33">
        <f t="shared" si="12"/>
        <v>0</v>
      </c>
      <c r="R67" s="33">
        <f t="shared" si="13"/>
        <v>0</v>
      </c>
      <c r="S67" s="33">
        <f t="shared" si="14"/>
        <v>0</v>
      </c>
      <c r="T67" s="33">
        <f t="shared" si="15"/>
        <v>11150</v>
      </c>
      <c r="U67" s="4">
        <f t="shared" si="16"/>
        <v>0</v>
      </c>
      <c r="V67" s="38">
        <f t="shared" si="17"/>
        <v>0</v>
      </c>
      <c r="W67" s="39">
        <f t="shared" si="18"/>
        <v>0</v>
      </c>
      <c r="X67" s="4">
        <f t="shared" si="19"/>
        <v>0</v>
      </c>
      <c r="Y67" s="4">
        <f t="shared" si="20"/>
        <v>0</v>
      </c>
      <c r="Z67" s="4">
        <f t="shared" si="21"/>
        <v>0</v>
      </c>
      <c r="AA67" s="4">
        <f t="shared" si="22"/>
        <v>1115</v>
      </c>
      <c r="AB67" s="4">
        <f t="shared" si="23"/>
        <v>0</v>
      </c>
      <c r="AC67" s="38">
        <f t="shared" si="30"/>
        <v>1115</v>
      </c>
      <c r="AD67" s="40">
        <f t="shared" si="35"/>
        <v>0.185</v>
      </c>
    </row>
    <row r="68" spans="1:30" x14ac:dyDescent="0.3">
      <c r="A68" s="32">
        <f t="shared" si="36"/>
        <v>24500</v>
      </c>
      <c r="B68" s="33">
        <f t="shared" si="2"/>
        <v>0</v>
      </c>
      <c r="C68" s="33">
        <f t="shared" si="3"/>
        <v>24500</v>
      </c>
      <c r="D68" s="34">
        <f t="shared" si="4"/>
        <v>0</v>
      </c>
      <c r="E68" s="32">
        <f t="shared" si="5"/>
        <v>36000</v>
      </c>
      <c r="F68" s="33">
        <f t="shared" si="26"/>
        <v>42500</v>
      </c>
      <c r="G68" s="33">
        <f t="shared" si="6"/>
        <v>4500</v>
      </c>
      <c r="H68" s="33">
        <f t="shared" si="7"/>
        <v>7225</v>
      </c>
      <c r="I68" s="33">
        <f t="shared" si="33"/>
        <v>11725</v>
      </c>
      <c r="J68" s="42">
        <f t="shared" si="34"/>
        <v>0.85</v>
      </c>
      <c r="K68" s="33">
        <f t="shared" si="31"/>
        <v>36225</v>
      </c>
      <c r="L68" s="33">
        <f t="shared" si="9"/>
        <v>24150</v>
      </c>
      <c r="M68" s="32">
        <f t="shared" si="28"/>
        <v>12075</v>
      </c>
      <c r="N68" s="33">
        <f t="shared" si="10"/>
        <v>0</v>
      </c>
      <c r="O68" s="34">
        <f t="shared" si="32"/>
        <v>12075</v>
      </c>
      <c r="P68" s="32">
        <f t="shared" si="11"/>
        <v>0</v>
      </c>
      <c r="Q68" s="33">
        <f t="shared" si="12"/>
        <v>0</v>
      </c>
      <c r="R68" s="33">
        <f t="shared" si="13"/>
        <v>0</v>
      </c>
      <c r="S68" s="33">
        <f t="shared" si="14"/>
        <v>0</v>
      </c>
      <c r="T68" s="33">
        <f t="shared" si="15"/>
        <v>12075</v>
      </c>
      <c r="U68" s="4">
        <f t="shared" si="16"/>
        <v>0</v>
      </c>
      <c r="V68" s="38">
        <f t="shared" si="17"/>
        <v>0</v>
      </c>
      <c r="W68" s="39">
        <f t="shared" si="18"/>
        <v>0</v>
      </c>
      <c r="X68" s="4">
        <f t="shared" si="19"/>
        <v>0</v>
      </c>
      <c r="Y68" s="4">
        <f t="shared" si="20"/>
        <v>0</v>
      </c>
      <c r="Z68" s="4">
        <f t="shared" si="21"/>
        <v>0</v>
      </c>
      <c r="AA68" s="4">
        <f t="shared" si="22"/>
        <v>1207.5</v>
      </c>
      <c r="AB68" s="4">
        <f t="shared" si="23"/>
        <v>0</v>
      </c>
      <c r="AC68" s="38">
        <f t="shared" si="30"/>
        <v>1207.5</v>
      </c>
      <c r="AD68" s="40">
        <f t="shared" si="35"/>
        <v>0.20899999999999999</v>
      </c>
    </row>
    <row r="69" spans="1:30" x14ac:dyDescent="0.3">
      <c r="A69" s="32">
        <f t="shared" si="36"/>
        <v>25000</v>
      </c>
      <c r="B69" s="33">
        <f t="shared" si="2"/>
        <v>0</v>
      </c>
      <c r="C69" s="33">
        <f t="shared" si="3"/>
        <v>25000</v>
      </c>
      <c r="D69" s="34">
        <f t="shared" si="4"/>
        <v>0</v>
      </c>
      <c r="E69" s="32">
        <f t="shared" si="5"/>
        <v>36000</v>
      </c>
      <c r="F69" s="33">
        <f t="shared" si="26"/>
        <v>43000</v>
      </c>
      <c r="G69" s="33">
        <f t="shared" si="6"/>
        <v>4500</v>
      </c>
      <c r="H69" s="33">
        <f t="shared" si="7"/>
        <v>7650</v>
      </c>
      <c r="I69" s="33">
        <f t="shared" si="33"/>
        <v>12150</v>
      </c>
      <c r="J69" s="42">
        <f t="shared" si="34"/>
        <v>0.85</v>
      </c>
      <c r="K69" s="33">
        <f t="shared" si="31"/>
        <v>37150</v>
      </c>
      <c r="L69" s="33">
        <f t="shared" si="9"/>
        <v>24150</v>
      </c>
      <c r="M69" s="32">
        <f t="shared" si="28"/>
        <v>13000</v>
      </c>
      <c r="N69" s="33">
        <f t="shared" si="10"/>
        <v>0</v>
      </c>
      <c r="O69" s="34">
        <f t="shared" si="32"/>
        <v>13000</v>
      </c>
      <c r="P69" s="32">
        <f t="shared" si="11"/>
        <v>0</v>
      </c>
      <c r="Q69" s="33">
        <f t="shared" si="12"/>
        <v>0</v>
      </c>
      <c r="R69" s="33">
        <f t="shared" si="13"/>
        <v>0</v>
      </c>
      <c r="S69" s="33">
        <f t="shared" si="14"/>
        <v>600</v>
      </c>
      <c r="T69" s="33">
        <f t="shared" si="15"/>
        <v>12400</v>
      </c>
      <c r="U69" s="4">
        <f t="shared" si="16"/>
        <v>0</v>
      </c>
      <c r="V69" s="38">
        <f t="shared" si="17"/>
        <v>0</v>
      </c>
      <c r="W69" s="39">
        <f t="shared" si="18"/>
        <v>0</v>
      </c>
      <c r="X69" s="4">
        <f t="shared" si="19"/>
        <v>0</v>
      </c>
      <c r="Y69" s="4">
        <f t="shared" si="20"/>
        <v>0</v>
      </c>
      <c r="Z69" s="4">
        <f t="shared" si="21"/>
        <v>72</v>
      </c>
      <c r="AA69" s="4">
        <f t="shared" si="22"/>
        <v>1240</v>
      </c>
      <c r="AB69" s="4">
        <f t="shared" si="23"/>
        <v>0</v>
      </c>
      <c r="AC69" s="38">
        <f t="shared" si="30"/>
        <v>1312</v>
      </c>
      <c r="AD69" s="40">
        <f t="shared" si="35"/>
        <v>0.222</v>
      </c>
    </row>
    <row r="70" spans="1:30" x14ac:dyDescent="0.3">
      <c r="A70" s="32">
        <f t="shared" si="36"/>
        <v>25500</v>
      </c>
      <c r="B70" s="33">
        <f t="shared" si="2"/>
        <v>0</v>
      </c>
      <c r="C70" s="33">
        <f t="shared" si="3"/>
        <v>25500</v>
      </c>
      <c r="D70" s="34">
        <f t="shared" si="4"/>
        <v>0</v>
      </c>
      <c r="E70" s="32">
        <f t="shared" si="5"/>
        <v>36000</v>
      </c>
      <c r="F70" s="33">
        <f t="shared" si="26"/>
        <v>43500</v>
      </c>
      <c r="G70" s="33">
        <f t="shared" si="6"/>
        <v>4500</v>
      </c>
      <c r="H70" s="33">
        <f t="shared" si="7"/>
        <v>8075</v>
      </c>
      <c r="I70" s="33">
        <f t="shared" si="33"/>
        <v>12575</v>
      </c>
      <c r="J70" s="42">
        <f t="shared" si="34"/>
        <v>0.85</v>
      </c>
      <c r="K70" s="33">
        <f t="shared" si="31"/>
        <v>38075</v>
      </c>
      <c r="L70" s="33">
        <f t="shared" si="9"/>
        <v>24150</v>
      </c>
      <c r="M70" s="32">
        <f t="shared" si="28"/>
        <v>13925</v>
      </c>
      <c r="N70" s="33">
        <f t="shared" si="10"/>
        <v>0</v>
      </c>
      <c r="O70" s="34">
        <f t="shared" si="32"/>
        <v>13925</v>
      </c>
      <c r="P70" s="32">
        <f t="shared" si="11"/>
        <v>0</v>
      </c>
      <c r="Q70" s="33">
        <f t="shared" si="12"/>
        <v>0</v>
      </c>
      <c r="R70" s="33">
        <f t="shared" si="13"/>
        <v>0</v>
      </c>
      <c r="S70" s="33">
        <f t="shared" si="14"/>
        <v>1525</v>
      </c>
      <c r="T70" s="33">
        <f t="shared" si="15"/>
        <v>12400</v>
      </c>
      <c r="U70" s="4">
        <f t="shared" si="16"/>
        <v>0</v>
      </c>
      <c r="V70" s="38">
        <f t="shared" si="17"/>
        <v>0</v>
      </c>
      <c r="W70" s="39">
        <f t="shared" si="18"/>
        <v>0</v>
      </c>
      <c r="X70" s="4">
        <f t="shared" si="19"/>
        <v>0</v>
      </c>
      <c r="Y70" s="4">
        <f t="shared" si="20"/>
        <v>0</v>
      </c>
      <c r="Z70" s="4">
        <f t="shared" si="21"/>
        <v>183</v>
      </c>
      <c r="AA70" s="4">
        <f t="shared" si="22"/>
        <v>1240</v>
      </c>
      <c r="AB70" s="4">
        <f t="shared" si="23"/>
        <v>0</v>
      </c>
      <c r="AC70" s="38">
        <f t="shared" si="30"/>
        <v>1423</v>
      </c>
      <c r="AD70" s="40">
        <f t="shared" si="35"/>
        <v>0.222</v>
      </c>
    </row>
    <row r="71" spans="1:30" x14ac:dyDescent="0.3">
      <c r="A71" s="32">
        <f t="shared" si="36"/>
        <v>26000</v>
      </c>
      <c r="B71" s="33">
        <f t="shared" si="2"/>
        <v>0</v>
      </c>
      <c r="C71" s="33">
        <f t="shared" si="3"/>
        <v>26000</v>
      </c>
      <c r="D71" s="34">
        <f t="shared" si="4"/>
        <v>0</v>
      </c>
      <c r="E71" s="32">
        <f t="shared" si="5"/>
        <v>36000</v>
      </c>
      <c r="F71" s="33">
        <f t="shared" si="26"/>
        <v>44000</v>
      </c>
      <c r="G71" s="33">
        <f t="shared" si="6"/>
        <v>4500</v>
      </c>
      <c r="H71" s="33">
        <f t="shared" si="7"/>
        <v>8500</v>
      </c>
      <c r="I71" s="33">
        <f t="shared" si="33"/>
        <v>13000</v>
      </c>
      <c r="J71" s="42">
        <f t="shared" si="34"/>
        <v>0.85</v>
      </c>
      <c r="K71" s="33">
        <f t="shared" si="31"/>
        <v>39000</v>
      </c>
      <c r="L71" s="33">
        <f t="shared" si="9"/>
        <v>24150</v>
      </c>
      <c r="M71" s="32">
        <f t="shared" si="28"/>
        <v>14850</v>
      </c>
      <c r="N71" s="33">
        <f t="shared" si="10"/>
        <v>0</v>
      </c>
      <c r="O71" s="34">
        <f t="shared" si="32"/>
        <v>14850</v>
      </c>
      <c r="P71" s="32">
        <f t="shared" si="11"/>
        <v>0</v>
      </c>
      <c r="Q71" s="33">
        <f t="shared" si="12"/>
        <v>0</v>
      </c>
      <c r="R71" s="33">
        <f t="shared" si="13"/>
        <v>0</v>
      </c>
      <c r="S71" s="33">
        <f t="shared" si="14"/>
        <v>2450</v>
      </c>
      <c r="T71" s="33">
        <f t="shared" si="15"/>
        <v>12400</v>
      </c>
      <c r="U71" s="4">
        <f t="shared" si="16"/>
        <v>0</v>
      </c>
      <c r="V71" s="38">
        <f t="shared" si="17"/>
        <v>0</v>
      </c>
      <c r="W71" s="39">
        <f t="shared" si="18"/>
        <v>0</v>
      </c>
      <c r="X71" s="4">
        <f t="shared" si="19"/>
        <v>0</v>
      </c>
      <c r="Y71" s="4">
        <f t="shared" si="20"/>
        <v>0</v>
      </c>
      <c r="Z71" s="4">
        <f t="shared" si="21"/>
        <v>294</v>
      </c>
      <c r="AA71" s="4">
        <f t="shared" si="22"/>
        <v>1240</v>
      </c>
      <c r="AB71" s="4">
        <f t="shared" si="23"/>
        <v>0</v>
      </c>
      <c r="AC71" s="38">
        <f t="shared" si="30"/>
        <v>1534</v>
      </c>
      <c r="AD71" s="40">
        <f t="shared" si="35"/>
        <v>0.222</v>
      </c>
    </row>
    <row r="72" spans="1:30" x14ac:dyDescent="0.3">
      <c r="A72" s="32">
        <f t="shared" si="36"/>
        <v>26500</v>
      </c>
      <c r="B72" s="33">
        <f t="shared" si="2"/>
        <v>0</v>
      </c>
      <c r="C72" s="33">
        <f t="shared" si="3"/>
        <v>26500</v>
      </c>
      <c r="D72" s="34">
        <f t="shared" si="4"/>
        <v>0</v>
      </c>
      <c r="E72" s="32">
        <f t="shared" si="5"/>
        <v>36000</v>
      </c>
      <c r="F72" s="33">
        <f t="shared" si="26"/>
        <v>44500</v>
      </c>
      <c r="G72" s="33">
        <f t="shared" si="6"/>
        <v>4500</v>
      </c>
      <c r="H72" s="33">
        <f t="shared" si="7"/>
        <v>8925</v>
      </c>
      <c r="I72" s="33">
        <f t="shared" si="33"/>
        <v>13425</v>
      </c>
      <c r="J72" s="42">
        <f t="shared" si="34"/>
        <v>0.85</v>
      </c>
      <c r="K72" s="33">
        <f t="shared" si="31"/>
        <v>39925</v>
      </c>
      <c r="L72" s="33">
        <f t="shared" si="9"/>
        <v>24150</v>
      </c>
      <c r="M72" s="32">
        <f t="shared" si="28"/>
        <v>15775</v>
      </c>
      <c r="N72" s="33">
        <f t="shared" si="10"/>
        <v>0</v>
      </c>
      <c r="O72" s="34">
        <f t="shared" si="32"/>
        <v>15775</v>
      </c>
      <c r="P72" s="32">
        <f t="shared" si="11"/>
        <v>0</v>
      </c>
      <c r="Q72" s="33">
        <f t="shared" si="12"/>
        <v>0</v>
      </c>
      <c r="R72" s="33">
        <f t="shared" si="13"/>
        <v>0</v>
      </c>
      <c r="S72" s="33">
        <f t="shared" si="14"/>
        <v>3375</v>
      </c>
      <c r="T72" s="33">
        <f t="shared" si="15"/>
        <v>12400</v>
      </c>
      <c r="U72" s="4">
        <f t="shared" si="16"/>
        <v>0</v>
      </c>
      <c r="V72" s="38">
        <f t="shared" si="17"/>
        <v>0</v>
      </c>
      <c r="W72" s="39">
        <f t="shared" si="18"/>
        <v>0</v>
      </c>
      <c r="X72" s="4">
        <f t="shared" si="19"/>
        <v>0</v>
      </c>
      <c r="Y72" s="4">
        <f t="shared" si="20"/>
        <v>0</v>
      </c>
      <c r="Z72" s="4">
        <f t="shared" si="21"/>
        <v>405</v>
      </c>
      <c r="AA72" s="4">
        <f t="shared" si="22"/>
        <v>1240</v>
      </c>
      <c r="AB72" s="4">
        <f t="shared" si="23"/>
        <v>0</v>
      </c>
      <c r="AC72" s="38">
        <f t="shared" si="30"/>
        <v>1645</v>
      </c>
      <c r="AD72" s="40">
        <f t="shared" si="35"/>
        <v>0.222</v>
      </c>
    </row>
    <row r="73" spans="1:30" x14ac:dyDescent="0.3">
      <c r="A73" s="32">
        <f t="shared" si="36"/>
        <v>27000</v>
      </c>
      <c r="B73" s="33">
        <f t="shared" si="2"/>
        <v>0</v>
      </c>
      <c r="C73" s="33">
        <f t="shared" si="3"/>
        <v>27000</v>
      </c>
      <c r="D73" s="34">
        <f t="shared" si="4"/>
        <v>0</v>
      </c>
      <c r="E73" s="32">
        <f t="shared" si="5"/>
        <v>36000</v>
      </c>
      <c r="F73" s="33">
        <f t="shared" si="26"/>
        <v>45000</v>
      </c>
      <c r="G73" s="33">
        <f t="shared" si="6"/>
        <v>4500</v>
      </c>
      <c r="H73" s="33">
        <f t="shared" si="7"/>
        <v>9350</v>
      </c>
      <c r="I73" s="33">
        <f t="shared" si="33"/>
        <v>13850</v>
      </c>
      <c r="J73" s="42">
        <f t="shared" si="34"/>
        <v>0.85</v>
      </c>
      <c r="K73" s="33">
        <f t="shared" si="31"/>
        <v>40850</v>
      </c>
      <c r="L73" s="33">
        <f t="shared" si="9"/>
        <v>24150</v>
      </c>
      <c r="M73" s="32">
        <f t="shared" si="28"/>
        <v>16700</v>
      </c>
      <c r="N73" s="33">
        <f t="shared" si="10"/>
        <v>0</v>
      </c>
      <c r="O73" s="34">
        <f t="shared" si="32"/>
        <v>16700</v>
      </c>
      <c r="P73" s="32">
        <f t="shared" si="11"/>
        <v>0</v>
      </c>
      <c r="Q73" s="33">
        <f t="shared" si="12"/>
        <v>0</v>
      </c>
      <c r="R73" s="33">
        <f t="shared" si="13"/>
        <v>0</v>
      </c>
      <c r="S73" s="33">
        <f t="shared" si="14"/>
        <v>4300</v>
      </c>
      <c r="T73" s="33">
        <f t="shared" si="15"/>
        <v>12400</v>
      </c>
      <c r="U73" s="4">
        <f t="shared" si="16"/>
        <v>0</v>
      </c>
      <c r="V73" s="38">
        <f t="shared" si="17"/>
        <v>0</v>
      </c>
      <c r="W73" s="39">
        <f t="shared" si="18"/>
        <v>0</v>
      </c>
      <c r="X73" s="4">
        <f t="shared" si="19"/>
        <v>0</v>
      </c>
      <c r="Y73" s="4">
        <f t="shared" si="20"/>
        <v>0</v>
      </c>
      <c r="Z73" s="4">
        <f t="shared" si="21"/>
        <v>516</v>
      </c>
      <c r="AA73" s="4">
        <f t="shared" si="22"/>
        <v>1240</v>
      </c>
      <c r="AB73" s="4">
        <f t="shared" si="23"/>
        <v>0</v>
      </c>
      <c r="AC73" s="38">
        <f t="shared" si="30"/>
        <v>1756</v>
      </c>
      <c r="AD73" s="40">
        <f t="shared" si="35"/>
        <v>0.222</v>
      </c>
    </row>
    <row r="74" spans="1:30" x14ac:dyDescent="0.3">
      <c r="A74" s="32">
        <f t="shared" si="36"/>
        <v>27500</v>
      </c>
      <c r="B74" s="33">
        <f t="shared" si="2"/>
        <v>0</v>
      </c>
      <c r="C74" s="33">
        <f t="shared" si="3"/>
        <v>27500</v>
      </c>
      <c r="D74" s="34">
        <f t="shared" si="4"/>
        <v>0</v>
      </c>
      <c r="E74" s="32">
        <f t="shared" si="5"/>
        <v>36000</v>
      </c>
      <c r="F74" s="33">
        <f t="shared" si="26"/>
        <v>45500</v>
      </c>
      <c r="G74" s="33">
        <f t="shared" si="6"/>
        <v>4500</v>
      </c>
      <c r="H74" s="33">
        <f t="shared" si="7"/>
        <v>9775</v>
      </c>
      <c r="I74" s="33">
        <f t="shared" si="33"/>
        <v>14275</v>
      </c>
      <c r="J74" s="42">
        <f t="shared" si="34"/>
        <v>0.85</v>
      </c>
      <c r="K74" s="33">
        <f t="shared" si="31"/>
        <v>41775</v>
      </c>
      <c r="L74" s="33">
        <f t="shared" si="9"/>
        <v>24150</v>
      </c>
      <c r="M74" s="32">
        <f t="shared" si="28"/>
        <v>17625</v>
      </c>
      <c r="N74" s="33">
        <f t="shared" si="10"/>
        <v>0</v>
      </c>
      <c r="O74" s="34">
        <f t="shared" si="32"/>
        <v>17625</v>
      </c>
      <c r="P74" s="32">
        <f t="shared" si="11"/>
        <v>0</v>
      </c>
      <c r="Q74" s="33">
        <f t="shared" si="12"/>
        <v>0</v>
      </c>
      <c r="R74" s="33">
        <f t="shared" si="13"/>
        <v>0</v>
      </c>
      <c r="S74" s="33">
        <f t="shared" si="14"/>
        <v>5225</v>
      </c>
      <c r="T74" s="33">
        <f t="shared" si="15"/>
        <v>12400</v>
      </c>
      <c r="U74" s="4">
        <f t="shared" si="16"/>
        <v>0</v>
      </c>
      <c r="V74" s="38">
        <f t="shared" si="17"/>
        <v>0</v>
      </c>
      <c r="W74" s="39">
        <f t="shared" si="18"/>
        <v>0</v>
      </c>
      <c r="X74" s="4">
        <f t="shared" si="19"/>
        <v>0</v>
      </c>
      <c r="Y74" s="4">
        <f t="shared" si="20"/>
        <v>0</v>
      </c>
      <c r="Z74" s="4">
        <f t="shared" si="21"/>
        <v>627</v>
      </c>
      <c r="AA74" s="4">
        <f t="shared" si="22"/>
        <v>1240</v>
      </c>
      <c r="AB74" s="4">
        <f t="shared" si="23"/>
        <v>0</v>
      </c>
      <c r="AC74" s="38">
        <f t="shared" si="30"/>
        <v>1867</v>
      </c>
      <c r="AD74" s="40">
        <f t="shared" si="35"/>
        <v>0.222</v>
      </c>
    </row>
    <row r="75" spans="1:30" x14ac:dyDescent="0.3">
      <c r="A75" s="32">
        <f t="shared" si="36"/>
        <v>28000</v>
      </c>
      <c r="B75" s="33">
        <f t="shared" si="2"/>
        <v>0</v>
      </c>
      <c r="C75" s="33">
        <f t="shared" si="3"/>
        <v>28000</v>
      </c>
      <c r="D75" s="34">
        <f t="shared" si="4"/>
        <v>0</v>
      </c>
      <c r="E75" s="32">
        <f t="shared" si="5"/>
        <v>36000</v>
      </c>
      <c r="F75" s="33">
        <f t="shared" si="26"/>
        <v>46000</v>
      </c>
      <c r="G75" s="33">
        <f t="shared" si="6"/>
        <v>4500</v>
      </c>
      <c r="H75" s="33">
        <f t="shared" si="7"/>
        <v>10200</v>
      </c>
      <c r="I75" s="33">
        <f t="shared" si="33"/>
        <v>14700</v>
      </c>
      <c r="J75" s="42">
        <f t="shared" si="34"/>
        <v>0.85</v>
      </c>
      <c r="K75" s="33">
        <f t="shared" si="31"/>
        <v>42700</v>
      </c>
      <c r="L75" s="33">
        <f t="shared" si="9"/>
        <v>24150</v>
      </c>
      <c r="M75" s="32">
        <f t="shared" si="28"/>
        <v>18550</v>
      </c>
      <c r="N75" s="33">
        <f t="shared" si="10"/>
        <v>0</v>
      </c>
      <c r="O75" s="34">
        <f t="shared" si="32"/>
        <v>18550</v>
      </c>
      <c r="P75" s="32">
        <f t="shared" si="11"/>
        <v>0</v>
      </c>
      <c r="Q75" s="33">
        <f t="shared" si="12"/>
        <v>0</v>
      </c>
      <c r="R75" s="33">
        <f t="shared" si="13"/>
        <v>0</v>
      </c>
      <c r="S75" s="33">
        <f t="shared" si="14"/>
        <v>6150</v>
      </c>
      <c r="T75" s="33">
        <f t="shared" si="15"/>
        <v>12400</v>
      </c>
      <c r="U75" s="4">
        <f t="shared" si="16"/>
        <v>0</v>
      </c>
      <c r="V75" s="38">
        <f t="shared" si="17"/>
        <v>0</v>
      </c>
      <c r="W75" s="39">
        <f t="shared" si="18"/>
        <v>0</v>
      </c>
      <c r="X75" s="4">
        <f t="shared" si="19"/>
        <v>0</v>
      </c>
      <c r="Y75" s="4">
        <f t="shared" si="20"/>
        <v>0</v>
      </c>
      <c r="Z75" s="4">
        <f t="shared" si="21"/>
        <v>738</v>
      </c>
      <c r="AA75" s="4">
        <f t="shared" si="22"/>
        <v>1240</v>
      </c>
      <c r="AB75" s="4">
        <f t="shared" si="23"/>
        <v>0</v>
      </c>
      <c r="AC75" s="38">
        <f t="shared" si="30"/>
        <v>1978</v>
      </c>
      <c r="AD75" s="40">
        <f t="shared" si="35"/>
        <v>0.222</v>
      </c>
    </row>
    <row r="76" spans="1:30" x14ac:dyDescent="0.3">
      <c r="A76" s="32">
        <f t="shared" si="36"/>
        <v>28500</v>
      </c>
      <c r="B76" s="33">
        <f t="shared" si="2"/>
        <v>0</v>
      </c>
      <c r="C76" s="33">
        <f t="shared" si="3"/>
        <v>28500</v>
      </c>
      <c r="D76" s="34">
        <f t="shared" si="4"/>
        <v>0</v>
      </c>
      <c r="E76" s="32">
        <f t="shared" si="5"/>
        <v>36000</v>
      </c>
      <c r="F76" s="33">
        <f t="shared" si="26"/>
        <v>46500</v>
      </c>
      <c r="G76" s="33">
        <f t="shared" si="6"/>
        <v>4500</v>
      </c>
      <c r="H76" s="33">
        <f t="shared" si="7"/>
        <v>10625</v>
      </c>
      <c r="I76" s="33">
        <f t="shared" si="33"/>
        <v>15125</v>
      </c>
      <c r="J76" s="42">
        <f t="shared" si="34"/>
        <v>0.85</v>
      </c>
      <c r="K76" s="33">
        <f t="shared" si="31"/>
        <v>43625</v>
      </c>
      <c r="L76" s="33">
        <f t="shared" si="9"/>
        <v>24150</v>
      </c>
      <c r="M76" s="32">
        <f t="shared" si="28"/>
        <v>19475</v>
      </c>
      <c r="N76" s="33">
        <f t="shared" si="10"/>
        <v>0</v>
      </c>
      <c r="O76" s="34">
        <f t="shared" si="32"/>
        <v>19475</v>
      </c>
      <c r="P76" s="32">
        <f t="shared" si="11"/>
        <v>0</v>
      </c>
      <c r="Q76" s="33">
        <f t="shared" si="12"/>
        <v>0</v>
      </c>
      <c r="R76" s="33">
        <f t="shared" si="13"/>
        <v>0</v>
      </c>
      <c r="S76" s="33">
        <f t="shared" si="14"/>
        <v>7075</v>
      </c>
      <c r="T76" s="33">
        <f t="shared" si="15"/>
        <v>12400</v>
      </c>
      <c r="U76" s="4">
        <f t="shared" si="16"/>
        <v>0</v>
      </c>
      <c r="V76" s="38">
        <f t="shared" si="17"/>
        <v>0</v>
      </c>
      <c r="W76" s="39">
        <f t="shared" si="18"/>
        <v>0</v>
      </c>
      <c r="X76" s="4">
        <f t="shared" si="19"/>
        <v>0</v>
      </c>
      <c r="Y76" s="4">
        <f t="shared" si="20"/>
        <v>0</v>
      </c>
      <c r="Z76" s="4">
        <f t="shared" si="21"/>
        <v>849</v>
      </c>
      <c r="AA76" s="4">
        <f t="shared" si="22"/>
        <v>1240</v>
      </c>
      <c r="AB76" s="4">
        <f t="shared" si="23"/>
        <v>0</v>
      </c>
      <c r="AC76" s="38">
        <f t="shared" si="30"/>
        <v>2089</v>
      </c>
      <c r="AD76" s="40">
        <f t="shared" si="35"/>
        <v>0.222</v>
      </c>
    </row>
    <row r="77" spans="1:30" x14ac:dyDescent="0.3">
      <c r="A77" s="32">
        <f t="shared" si="36"/>
        <v>29000</v>
      </c>
      <c r="B77" s="33">
        <f t="shared" si="2"/>
        <v>0</v>
      </c>
      <c r="C77" s="33">
        <f t="shared" si="3"/>
        <v>29000</v>
      </c>
      <c r="D77" s="34">
        <f t="shared" si="4"/>
        <v>0</v>
      </c>
      <c r="E77" s="32">
        <f t="shared" si="5"/>
        <v>36000</v>
      </c>
      <c r="F77" s="33">
        <f t="shared" si="26"/>
        <v>47000</v>
      </c>
      <c r="G77" s="33">
        <f t="shared" si="6"/>
        <v>4500</v>
      </c>
      <c r="H77" s="33">
        <f t="shared" si="7"/>
        <v>11050</v>
      </c>
      <c r="I77" s="33">
        <f t="shared" si="33"/>
        <v>15550</v>
      </c>
      <c r="J77" s="42">
        <f t="shared" si="34"/>
        <v>0.85</v>
      </c>
      <c r="K77" s="33">
        <f t="shared" si="31"/>
        <v>44550</v>
      </c>
      <c r="L77" s="33">
        <f t="shared" si="9"/>
        <v>24150</v>
      </c>
      <c r="M77" s="32">
        <f t="shared" si="28"/>
        <v>20400</v>
      </c>
      <c r="N77" s="33">
        <f t="shared" si="10"/>
        <v>0</v>
      </c>
      <c r="O77" s="34">
        <f t="shared" si="32"/>
        <v>20400</v>
      </c>
      <c r="P77" s="32">
        <f t="shared" si="11"/>
        <v>0</v>
      </c>
      <c r="Q77" s="33">
        <f t="shared" si="12"/>
        <v>0</v>
      </c>
      <c r="R77" s="33">
        <f t="shared" si="13"/>
        <v>0</v>
      </c>
      <c r="S77" s="33">
        <f t="shared" si="14"/>
        <v>8000</v>
      </c>
      <c r="T77" s="33">
        <f t="shared" si="15"/>
        <v>12400</v>
      </c>
      <c r="U77" s="4">
        <f t="shared" si="16"/>
        <v>0</v>
      </c>
      <c r="V77" s="38">
        <f t="shared" si="17"/>
        <v>0</v>
      </c>
      <c r="W77" s="39">
        <f t="shared" si="18"/>
        <v>0</v>
      </c>
      <c r="X77" s="4">
        <f t="shared" si="19"/>
        <v>0</v>
      </c>
      <c r="Y77" s="4">
        <f t="shared" si="20"/>
        <v>0</v>
      </c>
      <c r="Z77" s="4">
        <f t="shared" si="21"/>
        <v>960</v>
      </c>
      <c r="AA77" s="4">
        <f t="shared" si="22"/>
        <v>1240</v>
      </c>
      <c r="AB77" s="4">
        <f t="shared" si="23"/>
        <v>0</v>
      </c>
      <c r="AC77" s="38">
        <f t="shared" si="30"/>
        <v>2200</v>
      </c>
      <c r="AD77" s="40">
        <f t="shared" si="35"/>
        <v>0.222</v>
      </c>
    </row>
    <row r="78" spans="1:30" x14ac:dyDescent="0.3">
      <c r="A78" s="32">
        <f t="shared" si="36"/>
        <v>29500</v>
      </c>
      <c r="B78" s="33">
        <f t="shared" si="2"/>
        <v>0</v>
      </c>
      <c r="C78" s="33">
        <f t="shared" si="3"/>
        <v>29500</v>
      </c>
      <c r="D78" s="34">
        <f t="shared" si="4"/>
        <v>0</v>
      </c>
      <c r="E78" s="32">
        <f t="shared" si="5"/>
        <v>36000</v>
      </c>
      <c r="F78" s="33">
        <f t="shared" si="26"/>
        <v>47500</v>
      </c>
      <c r="G78" s="33">
        <f t="shared" si="6"/>
        <v>4500</v>
      </c>
      <c r="H78" s="33">
        <f t="shared" si="7"/>
        <v>11475</v>
      </c>
      <c r="I78" s="33">
        <f t="shared" si="33"/>
        <v>15975</v>
      </c>
      <c r="J78" s="42">
        <f t="shared" si="34"/>
        <v>0.85</v>
      </c>
      <c r="K78" s="33">
        <f t="shared" si="31"/>
        <v>45475</v>
      </c>
      <c r="L78" s="33">
        <f t="shared" si="9"/>
        <v>24150</v>
      </c>
      <c r="M78" s="32">
        <f t="shared" si="28"/>
        <v>21325</v>
      </c>
      <c r="N78" s="33">
        <f t="shared" si="10"/>
        <v>0</v>
      </c>
      <c r="O78" s="34">
        <f t="shared" si="32"/>
        <v>21325</v>
      </c>
      <c r="P78" s="32">
        <f t="shared" si="11"/>
        <v>0</v>
      </c>
      <c r="Q78" s="33">
        <f t="shared" si="12"/>
        <v>0</v>
      </c>
      <c r="R78" s="33">
        <f t="shared" si="13"/>
        <v>0</v>
      </c>
      <c r="S78" s="33">
        <f t="shared" si="14"/>
        <v>8925</v>
      </c>
      <c r="T78" s="33">
        <f t="shared" si="15"/>
        <v>12400</v>
      </c>
      <c r="U78" s="4">
        <f t="shared" si="16"/>
        <v>0</v>
      </c>
      <c r="V78" s="38">
        <f t="shared" si="17"/>
        <v>0</v>
      </c>
      <c r="W78" s="39">
        <f t="shared" si="18"/>
        <v>0</v>
      </c>
      <c r="X78" s="4">
        <f t="shared" si="19"/>
        <v>0</v>
      </c>
      <c r="Y78" s="4">
        <f t="shared" si="20"/>
        <v>0</v>
      </c>
      <c r="Z78" s="4">
        <f t="shared" si="21"/>
        <v>1071</v>
      </c>
      <c r="AA78" s="4">
        <f t="shared" si="22"/>
        <v>1240</v>
      </c>
      <c r="AB78" s="4">
        <f t="shared" si="23"/>
        <v>0</v>
      </c>
      <c r="AC78" s="38">
        <f t="shared" si="30"/>
        <v>2311</v>
      </c>
      <c r="AD78" s="40">
        <f t="shared" si="35"/>
        <v>0.222</v>
      </c>
    </row>
    <row r="79" spans="1:30" x14ac:dyDescent="0.3">
      <c r="A79" s="32">
        <f t="shared" si="36"/>
        <v>30000</v>
      </c>
      <c r="B79" s="33">
        <f t="shared" si="2"/>
        <v>0</v>
      </c>
      <c r="C79" s="33">
        <f t="shared" si="3"/>
        <v>30000</v>
      </c>
      <c r="D79" s="34">
        <f t="shared" si="4"/>
        <v>0</v>
      </c>
      <c r="E79" s="32">
        <f t="shared" si="5"/>
        <v>36000</v>
      </c>
      <c r="F79" s="33">
        <f t="shared" si="26"/>
        <v>48000</v>
      </c>
      <c r="G79" s="33">
        <f t="shared" si="6"/>
        <v>4500</v>
      </c>
      <c r="H79" s="33">
        <f t="shared" si="7"/>
        <v>11900</v>
      </c>
      <c r="I79" s="33">
        <f t="shared" si="33"/>
        <v>16400</v>
      </c>
      <c r="J79" s="42">
        <f t="shared" si="34"/>
        <v>0.85</v>
      </c>
      <c r="K79" s="33">
        <f t="shared" si="31"/>
        <v>46400</v>
      </c>
      <c r="L79" s="33">
        <f t="shared" si="9"/>
        <v>24150</v>
      </c>
      <c r="M79" s="32">
        <f t="shared" si="28"/>
        <v>22250</v>
      </c>
      <c r="N79" s="33">
        <f t="shared" si="10"/>
        <v>0</v>
      </c>
      <c r="O79" s="34">
        <f t="shared" si="32"/>
        <v>22250</v>
      </c>
      <c r="P79" s="32">
        <f t="shared" si="11"/>
        <v>0</v>
      </c>
      <c r="Q79" s="33">
        <f t="shared" si="12"/>
        <v>0</v>
      </c>
      <c r="R79" s="33">
        <f t="shared" si="13"/>
        <v>0</v>
      </c>
      <c r="S79" s="33">
        <f t="shared" si="14"/>
        <v>9850</v>
      </c>
      <c r="T79" s="33">
        <f t="shared" si="15"/>
        <v>12400</v>
      </c>
      <c r="U79" s="4">
        <f t="shared" si="16"/>
        <v>0</v>
      </c>
      <c r="V79" s="38">
        <f t="shared" si="17"/>
        <v>0</v>
      </c>
      <c r="W79" s="39">
        <f t="shared" si="18"/>
        <v>0</v>
      </c>
      <c r="X79" s="4">
        <f t="shared" si="19"/>
        <v>0</v>
      </c>
      <c r="Y79" s="4">
        <f t="shared" si="20"/>
        <v>0</v>
      </c>
      <c r="Z79" s="4">
        <f t="shared" si="21"/>
        <v>1182</v>
      </c>
      <c r="AA79" s="4">
        <f t="shared" si="22"/>
        <v>1240</v>
      </c>
      <c r="AB79" s="4">
        <f t="shared" si="23"/>
        <v>0</v>
      </c>
      <c r="AC79" s="38">
        <f t="shared" si="30"/>
        <v>2422</v>
      </c>
      <c r="AD79" s="40">
        <f t="shared" si="35"/>
        <v>0.222</v>
      </c>
    </row>
    <row r="80" spans="1:30" x14ac:dyDescent="0.3">
      <c r="A80" s="32">
        <f t="shared" si="36"/>
        <v>30500</v>
      </c>
      <c r="B80" s="33">
        <f t="shared" si="2"/>
        <v>0</v>
      </c>
      <c r="C80" s="33">
        <f t="shared" si="3"/>
        <v>30500</v>
      </c>
      <c r="D80" s="34">
        <f t="shared" si="4"/>
        <v>0</v>
      </c>
      <c r="E80" s="32">
        <f t="shared" si="5"/>
        <v>36000</v>
      </c>
      <c r="F80" s="33">
        <f t="shared" si="26"/>
        <v>48500</v>
      </c>
      <c r="G80" s="33">
        <f t="shared" si="6"/>
        <v>4500</v>
      </c>
      <c r="H80" s="33">
        <f t="shared" si="7"/>
        <v>12325</v>
      </c>
      <c r="I80" s="33">
        <f t="shared" si="33"/>
        <v>16825</v>
      </c>
      <c r="J80" s="42">
        <f t="shared" si="34"/>
        <v>0.85</v>
      </c>
      <c r="K80" s="33">
        <f t="shared" si="31"/>
        <v>47325</v>
      </c>
      <c r="L80" s="33">
        <f t="shared" si="9"/>
        <v>24150</v>
      </c>
      <c r="M80" s="32">
        <f t="shared" si="28"/>
        <v>23175</v>
      </c>
      <c r="N80" s="33">
        <f t="shared" si="10"/>
        <v>0</v>
      </c>
      <c r="O80" s="34">
        <f t="shared" si="32"/>
        <v>23175</v>
      </c>
      <c r="P80" s="32">
        <f t="shared" si="11"/>
        <v>0</v>
      </c>
      <c r="Q80" s="33">
        <f t="shared" si="12"/>
        <v>0</v>
      </c>
      <c r="R80" s="33">
        <f t="shared" si="13"/>
        <v>0</v>
      </c>
      <c r="S80" s="33">
        <f t="shared" si="14"/>
        <v>10775</v>
      </c>
      <c r="T80" s="33">
        <f t="shared" si="15"/>
        <v>12400</v>
      </c>
      <c r="U80" s="4">
        <f t="shared" si="16"/>
        <v>0</v>
      </c>
      <c r="V80" s="38">
        <f t="shared" si="17"/>
        <v>0</v>
      </c>
      <c r="W80" s="39">
        <f t="shared" si="18"/>
        <v>0</v>
      </c>
      <c r="X80" s="4">
        <f t="shared" si="19"/>
        <v>0</v>
      </c>
      <c r="Y80" s="4">
        <f t="shared" si="20"/>
        <v>0</v>
      </c>
      <c r="Z80" s="4">
        <f t="shared" si="21"/>
        <v>1293</v>
      </c>
      <c r="AA80" s="4">
        <f t="shared" si="22"/>
        <v>1240</v>
      </c>
      <c r="AB80" s="4">
        <f t="shared" si="23"/>
        <v>0</v>
      </c>
      <c r="AC80" s="38">
        <f t="shared" si="30"/>
        <v>2533</v>
      </c>
      <c r="AD80" s="40">
        <f t="shared" si="35"/>
        <v>0.222</v>
      </c>
    </row>
    <row r="81" spans="1:30" x14ac:dyDescent="0.3">
      <c r="A81" s="32">
        <f t="shared" si="36"/>
        <v>31000</v>
      </c>
      <c r="B81" s="33">
        <f t="shared" si="2"/>
        <v>0</v>
      </c>
      <c r="C81" s="33">
        <f t="shared" si="3"/>
        <v>31000</v>
      </c>
      <c r="D81" s="34">
        <f t="shared" si="4"/>
        <v>0</v>
      </c>
      <c r="E81" s="32">
        <f t="shared" si="5"/>
        <v>36000</v>
      </c>
      <c r="F81" s="33">
        <f t="shared" si="26"/>
        <v>49000</v>
      </c>
      <c r="G81" s="33">
        <f t="shared" si="6"/>
        <v>4500</v>
      </c>
      <c r="H81" s="33">
        <f t="shared" si="7"/>
        <v>12750</v>
      </c>
      <c r="I81" s="33">
        <f t="shared" si="33"/>
        <v>17250</v>
      </c>
      <c r="J81" s="42">
        <f t="shared" si="34"/>
        <v>0.85</v>
      </c>
      <c r="K81" s="33">
        <f t="shared" si="31"/>
        <v>48250</v>
      </c>
      <c r="L81" s="33">
        <f t="shared" si="9"/>
        <v>24150</v>
      </c>
      <c r="M81" s="32">
        <f t="shared" si="28"/>
        <v>24100</v>
      </c>
      <c r="N81" s="33">
        <f t="shared" si="10"/>
        <v>0</v>
      </c>
      <c r="O81" s="34">
        <f t="shared" si="32"/>
        <v>24100</v>
      </c>
      <c r="P81" s="32">
        <f t="shared" si="11"/>
        <v>0</v>
      </c>
      <c r="Q81" s="33">
        <f t="shared" si="12"/>
        <v>0</v>
      </c>
      <c r="R81" s="33">
        <f t="shared" si="13"/>
        <v>0</v>
      </c>
      <c r="S81" s="33">
        <f t="shared" si="14"/>
        <v>11700</v>
      </c>
      <c r="T81" s="33">
        <f t="shared" si="15"/>
        <v>12400</v>
      </c>
      <c r="U81" s="4">
        <f t="shared" si="16"/>
        <v>0</v>
      </c>
      <c r="V81" s="38">
        <f t="shared" si="17"/>
        <v>0</v>
      </c>
      <c r="W81" s="39">
        <f t="shared" si="18"/>
        <v>0</v>
      </c>
      <c r="X81" s="4">
        <f t="shared" si="19"/>
        <v>0</v>
      </c>
      <c r="Y81" s="4">
        <f t="shared" si="20"/>
        <v>0</v>
      </c>
      <c r="Z81" s="4">
        <f t="shared" si="21"/>
        <v>1404</v>
      </c>
      <c r="AA81" s="4">
        <f t="shared" si="22"/>
        <v>1240</v>
      </c>
      <c r="AB81" s="4">
        <f t="shared" si="23"/>
        <v>0</v>
      </c>
      <c r="AC81" s="38">
        <f t="shared" si="30"/>
        <v>2644</v>
      </c>
      <c r="AD81" s="40">
        <f t="shared" si="35"/>
        <v>0.222</v>
      </c>
    </row>
    <row r="82" spans="1:30" x14ac:dyDescent="0.3">
      <c r="A82" s="32">
        <f t="shared" si="36"/>
        <v>31500</v>
      </c>
      <c r="B82" s="33">
        <f t="shared" si="2"/>
        <v>0</v>
      </c>
      <c r="C82" s="33">
        <f t="shared" si="3"/>
        <v>31500</v>
      </c>
      <c r="D82" s="34">
        <f t="shared" si="4"/>
        <v>0</v>
      </c>
      <c r="E82" s="32">
        <f t="shared" si="5"/>
        <v>36000</v>
      </c>
      <c r="F82" s="33">
        <f t="shared" si="26"/>
        <v>49500</v>
      </c>
      <c r="G82" s="33">
        <f t="shared" si="6"/>
        <v>4500</v>
      </c>
      <c r="H82" s="33">
        <f t="shared" si="7"/>
        <v>13175</v>
      </c>
      <c r="I82" s="33">
        <f t="shared" si="33"/>
        <v>17675</v>
      </c>
      <c r="J82" s="42">
        <f t="shared" si="34"/>
        <v>0.85</v>
      </c>
      <c r="K82" s="33">
        <f t="shared" si="31"/>
        <v>49175</v>
      </c>
      <c r="L82" s="33">
        <f t="shared" si="9"/>
        <v>24150</v>
      </c>
      <c r="M82" s="32">
        <f t="shared" si="28"/>
        <v>25025</v>
      </c>
      <c r="N82" s="33">
        <f t="shared" si="10"/>
        <v>0</v>
      </c>
      <c r="O82" s="34">
        <f t="shared" si="32"/>
        <v>25025</v>
      </c>
      <c r="P82" s="32">
        <f t="shared" si="11"/>
        <v>0</v>
      </c>
      <c r="Q82" s="33">
        <f t="shared" si="12"/>
        <v>0</v>
      </c>
      <c r="R82" s="33">
        <f t="shared" si="13"/>
        <v>0</v>
      </c>
      <c r="S82" s="33">
        <f t="shared" si="14"/>
        <v>12625</v>
      </c>
      <c r="T82" s="33">
        <f t="shared" si="15"/>
        <v>12400</v>
      </c>
      <c r="U82" s="4">
        <f t="shared" si="16"/>
        <v>0</v>
      </c>
      <c r="V82" s="38">
        <f t="shared" si="17"/>
        <v>0</v>
      </c>
      <c r="W82" s="39">
        <f t="shared" si="18"/>
        <v>0</v>
      </c>
      <c r="X82" s="4">
        <f t="shared" si="19"/>
        <v>0</v>
      </c>
      <c r="Y82" s="4">
        <f t="shared" si="20"/>
        <v>0</v>
      </c>
      <c r="Z82" s="4">
        <f t="shared" si="21"/>
        <v>1515</v>
      </c>
      <c r="AA82" s="4">
        <f t="shared" si="22"/>
        <v>1240</v>
      </c>
      <c r="AB82" s="4">
        <f t="shared" si="23"/>
        <v>0</v>
      </c>
      <c r="AC82" s="38">
        <f t="shared" si="30"/>
        <v>2755</v>
      </c>
      <c r="AD82" s="40">
        <f t="shared" si="35"/>
        <v>0.222</v>
      </c>
    </row>
    <row r="83" spans="1:30" x14ac:dyDescent="0.3">
      <c r="A83" s="32">
        <f t="shared" si="36"/>
        <v>32000</v>
      </c>
      <c r="B83" s="33">
        <f t="shared" ref="B83:B146" si="37">IF(B$10=1,A83,B$4)</f>
        <v>0</v>
      </c>
      <c r="C83" s="33">
        <f t="shared" ref="C83:C146" si="38">IF(B$10=2,A83,B$5)</f>
        <v>32000</v>
      </c>
      <c r="D83" s="34">
        <f t="shared" ref="D83:D146" si="39">IF(B$10=3,A83,B$6)</f>
        <v>0</v>
      </c>
      <c r="E83" s="32">
        <f t="shared" ref="E83:E146" si="40">IF(B$10=4,A83,B$7)</f>
        <v>36000</v>
      </c>
      <c r="F83" s="33">
        <f t="shared" si="26"/>
        <v>50000</v>
      </c>
      <c r="G83" s="33">
        <f t="shared" ref="G83:G146" si="41">MIN(50%*E83,MAX(0,50%*MIN(N$5-N$4,F83-N$4)))</f>
        <v>4500</v>
      </c>
      <c r="H83" s="33">
        <f t="shared" ref="H83:H146" si="42">MIN(85%*E83-G83,85%*MAX(0,F83-N$5))</f>
        <v>13600</v>
      </c>
      <c r="I83" s="33">
        <f t="shared" si="33"/>
        <v>18100</v>
      </c>
      <c r="J83" s="42">
        <f t="shared" ref="J83:J114" si="43">(I84-I83)/B$12</f>
        <v>0.85</v>
      </c>
      <c r="K83" s="33">
        <f t="shared" si="31"/>
        <v>50100</v>
      </c>
      <c r="L83" s="33">
        <f t="shared" ref="L83:L146" si="44">N$2+N$3+IF(N$13=0,0,N$13*B$3*(1-MAX(0,MIN(1,(K83-N$14)/(N$15-N$14)))))</f>
        <v>24150</v>
      </c>
      <c r="M83" s="32">
        <f t="shared" si="28"/>
        <v>25950</v>
      </c>
      <c r="N83" s="33">
        <f t="shared" ref="N83:N146" si="45">MIN(D83,M83)</f>
        <v>0</v>
      </c>
      <c r="O83" s="34">
        <f t="shared" si="32"/>
        <v>25950</v>
      </c>
      <c r="P83" s="32">
        <f t="shared" ref="P83:P146" si="46">MAX(0,O83-N$10)</f>
        <v>0</v>
      </c>
      <c r="Q83" s="33">
        <f t="shared" ref="Q83:Q146" si="47">MAX(0,O83-N$9)-P83</f>
        <v>0</v>
      </c>
      <c r="R83" s="33">
        <f t="shared" ref="R83:R146" si="48">MAX(0,O83-N$8)-P83-Q83</f>
        <v>0</v>
      </c>
      <c r="S83" s="33">
        <f t="shared" ref="S83:S146" si="49">MAX(0,O83-N$7)-P83-Q83-R83</f>
        <v>13550</v>
      </c>
      <c r="T83" s="33">
        <f t="shared" ref="T83:T146" si="50">MAX(0,O83-N$6)-P83-Q83-R83-S83</f>
        <v>12400</v>
      </c>
      <c r="U83" s="4">
        <f t="shared" ref="U83:U146" si="51">MAX(0,MIN(N83,M83-N$12))</f>
        <v>0</v>
      </c>
      <c r="V83" s="38">
        <f t="shared" ref="V83:V146" si="52">MAX(0,MIN(N83,M83-N$11))-U83</f>
        <v>0</v>
      </c>
      <c r="W83" s="39">
        <f t="shared" ref="W83:W146" si="53">P83*L$10</f>
        <v>0</v>
      </c>
      <c r="X83" s="4">
        <f t="shared" ref="X83:X146" si="54">Q83*L$9</f>
        <v>0</v>
      </c>
      <c r="Y83" s="4">
        <f t="shared" ref="Y83:Y146" si="55">R83*L$8</f>
        <v>0</v>
      </c>
      <c r="Z83" s="4">
        <f t="shared" ref="Z83:Z146" si="56">S83*L$7</f>
        <v>1626</v>
      </c>
      <c r="AA83" s="4">
        <f t="shared" ref="AA83:AA146" si="57">T83*L$6</f>
        <v>1240</v>
      </c>
      <c r="AB83" s="4">
        <f t="shared" ref="AB83:AB146" si="58">U83*L$12</f>
        <v>0</v>
      </c>
      <c r="AC83" s="38">
        <f t="shared" si="30"/>
        <v>2866</v>
      </c>
      <c r="AD83" s="40">
        <f t="shared" ref="AD83:AD114" si="59">(AC84-AC83)/B$12</f>
        <v>0.222</v>
      </c>
    </row>
    <row r="84" spans="1:30" x14ac:dyDescent="0.3">
      <c r="A84" s="32">
        <f t="shared" ref="A84:A115" si="60">A83+B$12</f>
        <v>32500</v>
      </c>
      <c r="B84" s="33">
        <f t="shared" si="37"/>
        <v>0</v>
      </c>
      <c r="C84" s="33">
        <f t="shared" si="38"/>
        <v>32500</v>
      </c>
      <c r="D84" s="34">
        <f t="shared" si="39"/>
        <v>0</v>
      </c>
      <c r="E84" s="32">
        <f t="shared" si="40"/>
        <v>36000</v>
      </c>
      <c r="F84" s="33">
        <f t="shared" ref="F84:F147" si="61">B84+C84+D84+E84/2</f>
        <v>50500</v>
      </c>
      <c r="G84" s="33">
        <f t="shared" si="41"/>
        <v>4500</v>
      </c>
      <c r="H84" s="33">
        <f t="shared" si="42"/>
        <v>14025</v>
      </c>
      <c r="I84" s="33">
        <f t="shared" si="33"/>
        <v>18525</v>
      </c>
      <c r="J84" s="42">
        <f t="shared" si="43"/>
        <v>0.85</v>
      </c>
      <c r="K84" s="33">
        <f t="shared" si="31"/>
        <v>51025</v>
      </c>
      <c r="L84" s="33">
        <f t="shared" si="44"/>
        <v>24150</v>
      </c>
      <c r="M84" s="32">
        <f t="shared" ref="M84:M147" si="62">MAX(0,K84-L84)</f>
        <v>26875</v>
      </c>
      <c r="N84" s="33">
        <f t="shared" si="45"/>
        <v>0</v>
      </c>
      <c r="O84" s="34">
        <f t="shared" si="32"/>
        <v>26875</v>
      </c>
      <c r="P84" s="32">
        <f t="shared" si="46"/>
        <v>0</v>
      </c>
      <c r="Q84" s="33">
        <f t="shared" si="47"/>
        <v>0</v>
      </c>
      <c r="R84" s="33">
        <f t="shared" si="48"/>
        <v>0</v>
      </c>
      <c r="S84" s="33">
        <f t="shared" si="49"/>
        <v>14475</v>
      </c>
      <c r="T84" s="33">
        <f t="shared" si="50"/>
        <v>12400</v>
      </c>
      <c r="U84" s="4">
        <f t="shared" si="51"/>
        <v>0</v>
      </c>
      <c r="V84" s="38">
        <f t="shared" si="52"/>
        <v>0</v>
      </c>
      <c r="W84" s="39">
        <f t="shared" si="53"/>
        <v>0</v>
      </c>
      <c r="X84" s="4">
        <f t="shared" si="54"/>
        <v>0</v>
      </c>
      <c r="Y84" s="4">
        <f t="shared" si="55"/>
        <v>0</v>
      </c>
      <c r="Z84" s="4">
        <f t="shared" si="56"/>
        <v>1737</v>
      </c>
      <c r="AA84" s="4">
        <f t="shared" si="57"/>
        <v>1240</v>
      </c>
      <c r="AB84" s="4">
        <f t="shared" si="58"/>
        <v>0</v>
      </c>
      <c r="AC84" s="38">
        <f t="shared" ref="AC84:AC147" si="63">SUM(W84:AB84)</f>
        <v>2977</v>
      </c>
      <c r="AD84" s="40">
        <f t="shared" si="59"/>
        <v>0.222</v>
      </c>
    </row>
    <row r="85" spans="1:30" x14ac:dyDescent="0.3">
      <c r="A85" s="32">
        <f t="shared" si="60"/>
        <v>33000</v>
      </c>
      <c r="B85" s="33">
        <f t="shared" si="37"/>
        <v>0</v>
      </c>
      <c r="C85" s="33">
        <f t="shared" si="38"/>
        <v>33000</v>
      </c>
      <c r="D85" s="34">
        <f t="shared" si="39"/>
        <v>0</v>
      </c>
      <c r="E85" s="32">
        <f t="shared" si="40"/>
        <v>36000</v>
      </c>
      <c r="F85" s="33">
        <f t="shared" si="61"/>
        <v>51000</v>
      </c>
      <c r="G85" s="33">
        <f t="shared" si="41"/>
        <v>4500</v>
      </c>
      <c r="H85" s="33">
        <f t="shared" si="42"/>
        <v>14450</v>
      </c>
      <c r="I85" s="33">
        <f t="shared" si="33"/>
        <v>18950</v>
      </c>
      <c r="J85" s="42">
        <f t="shared" si="43"/>
        <v>0.85</v>
      </c>
      <c r="K85" s="33">
        <f t="shared" ref="K85:K148" si="64">C85+D85+I85</f>
        <v>51950</v>
      </c>
      <c r="L85" s="33">
        <f t="shared" si="44"/>
        <v>24150</v>
      </c>
      <c r="M85" s="32">
        <f t="shared" si="62"/>
        <v>27800</v>
      </c>
      <c r="N85" s="33">
        <f t="shared" si="45"/>
        <v>0</v>
      </c>
      <c r="O85" s="34">
        <f t="shared" si="32"/>
        <v>27800</v>
      </c>
      <c r="P85" s="32">
        <f t="shared" si="46"/>
        <v>0</v>
      </c>
      <c r="Q85" s="33">
        <f t="shared" si="47"/>
        <v>0</v>
      </c>
      <c r="R85" s="33">
        <f t="shared" si="48"/>
        <v>0</v>
      </c>
      <c r="S85" s="33">
        <f t="shared" si="49"/>
        <v>15400</v>
      </c>
      <c r="T85" s="33">
        <f t="shared" si="50"/>
        <v>12400</v>
      </c>
      <c r="U85" s="4">
        <f t="shared" si="51"/>
        <v>0</v>
      </c>
      <c r="V85" s="38">
        <f t="shared" si="52"/>
        <v>0</v>
      </c>
      <c r="W85" s="39">
        <f t="shared" si="53"/>
        <v>0</v>
      </c>
      <c r="X85" s="4">
        <f t="shared" si="54"/>
        <v>0</v>
      </c>
      <c r="Y85" s="4">
        <f t="shared" si="55"/>
        <v>0</v>
      </c>
      <c r="Z85" s="4">
        <f t="shared" si="56"/>
        <v>1848</v>
      </c>
      <c r="AA85" s="4">
        <f t="shared" si="57"/>
        <v>1240</v>
      </c>
      <c r="AB85" s="4">
        <f t="shared" si="58"/>
        <v>0</v>
      </c>
      <c r="AC85" s="38">
        <f t="shared" si="63"/>
        <v>3088</v>
      </c>
      <c r="AD85" s="40">
        <f t="shared" si="59"/>
        <v>0.222</v>
      </c>
    </row>
    <row r="86" spans="1:30" x14ac:dyDescent="0.3">
      <c r="A86" s="32">
        <f t="shared" si="60"/>
        <v>33500</v>
      </c>
      <c r="B86" s="33">
        <f t="shared" si="37"/>
        <v>0</v>
      </c>
      <c r="C86" s="33">
        <f t="shared" si="38"/>
        <v>33500</v>
      </c>
      <c r="D86" s="34">
        <f t="shared" si="39"/>
        <v>0</v>
      </c>
      <c r="E86" s="32">
        <f t="shared" si="40"/>
        <v>36000</v>
      </c>
      <c r="F86" s="33">
        <f t="shared" si="61"/>
        <v>51500</v>
      </c>
      <c r="G86" s="33">
        <f t="shared" si="41"/>
        <v>4500</v>
      </c>
      <c r="H86" s="33">
        <f t="shared" si="42"/>
        <v>14875</v>
      </c>
      <c r="I86" s="33">
        <f t="shared" si="33"/>
        <v>19375</v>
      </c>
      <c r="J86" s="42">
        <f t="shared" si="43"/>
        <v>0.85</v>
      </c>
      <c r="K86" s="33">
        <f t="shared" si="64"/>
        <v>52875</v>
      </c>
      <c r="L86" s="33">
        <f t="shared" si="44"/>
        <v>24150</v>
      </c>
      <c r="M86" s="32">
        <f t="shared" si="62"/>
        <v>28725</v>
      </c>
      <c r="N86" s="33">
        <f t="shared" si="45"/>
        <v>0</v>
      </c>
      <c r="O86" s="34">
        <f t="shared" si="32"/>
        <v>28725</v>
      </c>
      <c r="P86" s="32">
        <f t="shared" si="46"/>
        <v>0</v>
      </c>
      <c r="Q86" s="33">
        <f t="shared" si="47"/>
        <v>0</v>
      </c>
      <c r="R86" s="33">
        <f t="shared" si="48"/>
        <v>0</v>
      </c>
      <c r="S86" s="33">
        <f t="shared" si="49"/>
        <v>16325</v>
      </c>
      <c r="T86" s="33">
        <f t="shared" si="50"/>
        <v>12400</v>
      </c>
      <c r="U86" s="4">
        <f t="shared" si="51"/>
        <v>0</v>
      </c>
      <c r="V86" s="38">
        <f t="shared" si="52"/>
        <v>0</v>
      </c>
      <c r="W86" s="39">
        <f t="shared" si="53"/>
        <v>0</v>
      </c>
      <c r="X86" s="4">
        <f t="shared" si="54"/>
        <v>0</v>
      </c>
      <c r="Y86" s="4">
        <f t="shared" si="55"/>
        <v>0</v>
      </c>
      <c r="Z86" s="4">
        <f t="shared" si="56"/>
        <v>1959</v>
      </c>
      <c r="AA86" s="4">
        <f t="shared" si="57"/>
        <v>1240</v>
      </c>
      <c r="AB86" s="4">
        <f t="shared" si="58"/>
        <v>0</v>
      </c>
      <c r="AC86" s="38">
        <f t="shared" si="63"/>
        <v>3199</v>
      </c>
      <c r="AD86" s="40">
        <f t="shared" si="59"/>
        <v>0.222</v>
      </c>
    </row>
    <row r="87" spans="1:30" x14ac:dyDescent="0.3">
      <c r="A87" s="32">
        <f t="shared" si="60"/>
        <v>34000</v>
      </c>
      <c r="B87" s="33">
        <f t="shared" si="37"/>
        <v>0</v>
      </c>
      <c r="C87" s="33">
        <f t="shared" si="38"/>
        <v>34000</v>
      </c>
      <c r="D87" s="34">
        <f t="shared" si="39"/>
        <v>0</v>
      </c>
      <c r="E87" s="32">
        <f t="shared" si="40"/>
        <v>36000</v>
      </c>
      <c r="F87" s="33">
        <f t="shared" si="61"/>
        <v>52000</v>
      </c>
      <c r="G87" s="33">
        <f t="shared" si="41"/>
        <v>4500</v>
      </c>
      <c r="H87" s="33">
        <f t="shared" si="42"/>
        <v>15300</v>
      </c>
      <c r="I87" s="33">
        <f t="shared" si="33"/>
        <v>19800</v>
      </c>
      <c r="J87" s="42">
        <f t="shared" si="43"/>
        <v>0.85</v>
      </c>
      <c r="K87" s="33">
        <f t="shared" si="64"/>
        <v>53800</v>
      </c>
      <c r="L87" s="33">
        <f t="shared" si="44"/>
        <v>24150</v>
      </c>
      <c r="M87" s="32">
        <f t="shared" si="62"/>
        <v>29650</v>
      </c>
      <c r="N87" s="33">
        <f t="shared" si="45"/>
        <v>0</v>
      </c>
      <c r="O87" s="34">
        <f t="shared" ref="O87:O150" si="65">M87-N87</f>
        <v>29650</v>
      </c>
      <c r="P87" s="32">
        <f t="shared" si="46"/>
        <v>0</v>
      </c>
      <c r="Q87" s="33">
        <f t="shared" si="47"/>
        <v>0</v>
      </c>
      <c r="R87" s="33">
        <f t="shared" si="48"/>
        <v>0</v>
      </c>
      <c r="S87" s="33">
        <f t="shared" si="49"/>
        <v>17250</v>
      </c>
      <c r="T87" s="33">
        <f t="shared" si="50"/>
        <v>12400</v>
      </c>
      <c r="U87" s="4">
        <f t="shared" si="51"/>
        <v>0</v>
      </c>
      <c r="V87" s="38">
        <f t="shared" si="52"/>
        <v>0</v>
      </c>
      <c r="W87" s="39">
        <f t="shared" si="53"/>
        <v>0</v>
      </c>
      <c r="X87" s="4">
        <f t="shared" si="54"/>
        <v>0</v>
      </c>
      <c r="Y87" s="4">
        <f t="shared" si="55"/>
        <v>0</v>
      </c>
      <c r="Z87" s="4">
        <f t="shared" si="56"/>
        <v>2070</v>
      </c>
      <c r="AA87" s="4">
        <f t="shared" si="57"/>
        <v>1240</v>
      </c>
      <c r="AB87" s="4">
        <f t="shared" si="58"/>
        <v>0</v>
      </c>
      <c r="AC87" s="38">
        <f t="shared" si="63"/>
        <v>3310</v>
      </c>
      <c r="AD87" s="40">
        <f t="shared" si="59"/>
        <v>0.222</v>
      </c>
    </row>
    <row r="88" spans="1:30" x14ac:dyDescent="0.3">
      <c r="A88" s="32">
        <f t="shared" si="60"/>
        <v>34500</v>
      </c>
      <c r="B88" s="33">
        <f t="shared" si="37"/>
        <v>0</v>
      </c>
      <c r="C88" s="33">
        <f t="shared" si="38"/>
        <v>34500</v>
      </c>
      <c r="D88" s="34">
        <f t="shared" si="39"/>
        <v>0</v>
      </c>
      <c r="E88" s="32">
        <f t="shared" si="40"/>
        <v>36000</v>
      </c>
      <c r="F88" s="33">
        <f t="shared" si="61"/>
        <v>52500</v>
      </c>
      <c r="G88" s="33">
        <f t="shared" si="41"/>
        <v>4500</v>
      </c>
      <c r="H88" s="33">
        <f t="shared" si="42"/>
        <v>15725</v>
      </c>
      <c r="I88" s="33">
        <f t="shared" ref="I88:I151" si="66">G88+H88</f>
        <v>20225</v>
      </c>
      <c r="J88" s="42">
        <f t="shared" si="43"/>
        <v>0.85</v>
      </c>
      <c r="K88" s="33">
        <f t="shared" si="64"/>
        <v>54725</v>
      </c>
      <c r="L88" s="33">
        <f t="shared" si="44"/>
        <v>24150</v>
      </c>
      <c r="M88" s="32">
        <f t="shared" si="62"/>
        <v>30575</v>
      </c>
      <c r="N88" s="33">
        <f t="shared" si="45"/>
        <v>0</v>
      </c>
      <c r="O88" s="34">
        <f t="shared" si="65"/>
        <v>30575</v>
      </c>
      <c r="P88" s="32">
        <f t="shared" si="46"/>
        <v>0</v>
      </c>
      <c r="Q88" s="33">
        <f t="shared" si="47"/>
        <v>0</v>
      </c>
      <c r="R88" s="33">
        <f t="shared" si="48"/>
        <v>0</v>
      </c>
      <c r="S88" s="33">
        <f t="shared" si="49"/>
        <v>18175</v>
      </c>
      <c r="T88" s="33">
        <f t="shared" si="50"/>
        <v>12400</v>
      </c>
      <c r="U88" s="4">
        <f t="shared" si="51"/>
        <v>0</v>
      </c>
      <c r="V88" s="38">
        <f t="shared" si="52"/>
        <v>0</v>
      </c>
      <c r="W88" s="39">
        <f t="shared" si="53"/>
        <v>0</v>
      </c>
      <c r="X88" s="4">
        <f t="shared" si="54"/>
        <v>0</v>
      </c>
      <c r="Y88" s="4">
        <f t="shared" si="55"/>
        <v>0</v>
      </c>
      <c r="Z88" s="4">
        <f t="shared" si="56"/>
        <v>2181</v>
      </c>
      <c r="AA88" s="4">
        <f t="shared" si="57"/>
        <v>1240</v>
      </c>
      <c r="AB88" s="4">
        <f t="shared" si="58"/>
        <v>0</v>
      </c>
      <c r="AC88" s="38">
        <f t="shared" si="63"/>
        <v>3421</v>
      </c>
      <c r="AD88" s="40">
        <f t="shared" si="59"/>
        <v>0.222</v>
      </c>
    </row>
    <row r="89" spans="1:30" x14ac:dyDescent="0.3">
      <c r="A89" s="32">
        <f t="shared" si="60"/>
        <v>35000</v>
      </c>
      <c r="B89" s="33">
        <f t="shared" si="37"/>
        <v>0</v>
      </c>
      <c r="C89" s="33">
        <f t="shared" si="38"/>
        <v>35000</v>
      </c>
      <c r="D89" s="34">
        <f t="shared" si="39"/>
        <v>0</v>
      </c>
      <c r="E89" s="32">
        <f t="shared" si="40"/>
        <v>36000</v>
      </c>
      <c r="F89" s="33">
        <f t="shared" si="61"/>
        <v>53000</v>
      </c>
      <c r="G89" s="33">
        <f t="shared" si="41"/>
        <v>4500</v>
      </c>
      <c r="H89" s="33">
        <f t="shared" si="42"/>
        <v>16150</v>
      </c>
      <c r="I89" s="33">
        <f t="shared" si="66"/>
        <v>20650</v>
      </c>
      <c r="J89" s="42">
        <f t="shared" si="43"/>
        <v>0.85</v>
      </c>
      <c r="K89" s="33">
        <f t="shared" si="64"/>
        <v>55650</v>
      </c>
      <c r="L89" s="33">
        <f t="shared" si="44"/>
        <v>24150</v>
      </c>
      <c r="M89" s="32">
        <f t="shared" si="62"/>
        <v>31500</v>
      </c>
      <c r="N89" s="33">
        <f t="shared" si="45"/>
        <v>0</v>
      </c>
      <c r="O89" s="34">
        <f t="shared" si="65"/>
        <v>31500</v>
      </c>
      <c r="P89" s="32">
        <f t="shared" si="46"/>
        <v>0</v>
      </c>
      <c r="Q89" s="33">
        <f t="shared" si="47"/>
        <v>0</v>
      </c>
      <c r="R89" s="33">
        <f t="shared" si="48"/>
        <v>0</v>
      </c>
      <c r="S89" s="33">
        <f t="shared" si="49"/>
        <v>19100</v>
      </c>
      <c r="T89" s="33">
        <f t="shared" si="50"/>
        <v>12400</v>
      </c>
      <c r="U89" s="4">
        <f t="shared" si="51"/>
        <v>0</v>
      </c>
      <c r="V89" s="38">
        <f t="shared" si="52"/>
        <v>0</v>
      </c>
      <c r="W89" s="39">
        <f t="shared" si="53"/>
        <v>0</v>
      </c>
      <c r="X89" s="4">
        <f t="shared" si="54"/>
        <v>0</v>
      </c>
      <c r="Y89" s="4">
        <f t="shared" si="55"/>
        <v>0</v>
      </c>
      <c r="Z89" s="4">
        <f t="shared" si="56"/>
        <v>2292</v>
      </c>
      <c r="AA89" s="4">
        <f t="shared" si="57"/>
        <v>1240</v>
      </c>
      <c r="AB89" s="4">
        <f t="shared" si="58"/>
        <v>0</v>
      </c>
      <c r="AC89" s="38">
        <f t="shared" si="63"/>
        <v>3532</v>
      </c>
      <c r="AD89" s="40">
        <f t="shared" si="59"/>
        <v>0.222</v>
      </c>
    </row>
    <row r="90" spans="1:30" x14ac:dyDescent="0.3">
      <c r="A90" s="32">
        <f t="shared" si="60"/>
        <v>35500</v>
      </c>
      <c r="B90" s="33">
        <f t="shared" si="37"/>
        <v>0</v>
      </c>
      <c r="C90" s="33">
        <f t="shared" si="38"/>
        <v>35500</v>
      </c>
      <c r="D90" s="34">
        <f t="shared" si="39"/>
        <v>0</v>
      </c>
      <c r="E90" s="32">
        <f t="shared" si="40"/>
        <v>36000</v>
      </c>
      <c r="F90" s="33">
        <f t="shared" si="61"/>
        <v>53500</v>
      </c>
      <c r="G90" s="33">
        <f t="shared" si="41"/>
        <v>4500</v>
      </c>
      <c r="H90" s="33">
        <f t="shared" si="42"/>
        <v>16575</v>
      </c>
      <c r="I90" s="33">
        <f t="shared" si="66"/>
        <v>21075</v>
      </c>
      <c r="J90" s="42">
        <f t="shared" si="43"/>
        <v>0.85</v>
      </c>
      <c r="K90" s="33">
        <f t="shared" si="64"/>
        <v>56575</v>
      </c>
      <c r="L90" s="33">
        <f t="shared" si="44"/>
        <v>24150</v>
      </c>
      <c r="M90" s="32">
        <f t="shared" si="62"/>
        <v>32425</v>
      </c>
      <c r="N90" s="33">
        <f t="shared" si="45"/>
        <v>0</v>
      </c>
      <c r="O90" s="34">
        <f t="shared" si="65"/>
        <v>32425</v>
      </c>
      <c r="P90" s="32">
        <f t="shared" si="46"/>
        <v>0</v>
      </c>
      <c r="Q90" s="33">
        <f t="shared" si="47"/>
        <v>0</v>
      </c>
      <c r="R90" s="33">
        <f t="shared" si="48"/>
        <v>0</v>
      </c>
      <c r="S90" s="33">
        <f t="shared" si="49"/>
        <v>20025</v>
      </c>
      <c r="T90" s="33">
        <f t="shared" si="50"/>
        <v>12400</v>
      </c>
      <c r="U90" s="4">
        <f t="shared" si="51"/>
        <v>0</v>
      </c>
      <c r="V90" s="38">
        <f t="shared" si="52"/>
        <v>0</v>
      </c>
      <c r="W90" s="39">
        <f t="shared" si="53"/>
        <v>0</v>
      </c>
      <c r="X90" s="4">
        <f t="shared" si="54"/>
        <v>0</v>
      </c>
      <c r="Y90" s="4">
        <f t="shared" si="55"/>
        <v>0</v>
      </c>
      <c r="Z90" s="4">
        <f t="shared" si="56"/>
        <v>2403</v>
      </c>
      <c r="AA90" s="4">
        <f t="shared" si="57"/>
        <v>1240</v>
      </c>
      <c r="AB90" s="4">
        <f t="shared" si="58"/>
        <v>0</v>
      </c>
      <c r="AC90" s="38">
        <f t="shared" si="63"/>
        <v>3643</v>
      </c>
      <c r="AD90" s="40">
        <f t="shared" si="59"/>
        <v>0.222</v>
      </c>
    </row>
    <row r="91" spans="1:30" x14ac:dyDescent="0.3">
      <c r="A91" s="32">
        <f t="shared" si="60"/>
        <v>36000</v>
      </c>
      <c r="B91" s="33">
        <f t="shared" si="37"/>
        <v>0</v>
      </c>
      <c r="C91" s="33">
        <f t="shared" si="38"/>
        <v>36000</v>
      </c>
      <c r="D91" s="34">
        <f t="shared" si="39"/>
        <v>0</v>
      </c>
      <c r="E91" s="32">
        <f t="shared" si="40"/>
        <v>36000</v>
      </c>
      <c r="F91" s="33">
        <f t="shared" si="61"/>
        <v>54000</v>
      </c>
      <c r="G91" s="33">
        <f t="shared" si="41"/>
        <v>4500</v>
      </c>
      <c r="H91" s="33">
        <f t="shared" si="42"/>
        <v>17000</v>
      </c>
      <c r="I91" s="33">
        <f t="shared" si="66"/>
        <v>21500</v>
      </c>
      <c r="J91" s="42">
        <f t="shared" si="43"/>
        <v>0.85</v>
      </c>
      <c r="K91" s="33">
        <f t="shared" si="64"/>
        <v>57500</v>
      </c>
      <c r="L91" s="33">
        <f t="shared" si="44"/>
        <v>24150</v>
      </c>
      <c r="M91" s="32">
        <f t="shared" si="62"/>
        <v>33350</v>
      </c>
      <c r="N91" s="33">
        <f t="shared" si="45"/>
        <v>0</v>
      </c>
      <c r="O91" s="34">
        <f t="shared" si="65"/>
        <v>33350</v>
      </c>
      <c r="P91" s="32">
        <f t="shared" si="46"/>
        <v>0</v>
      </c>
      <c r="Q91" s="33">
        <f t="shared" si="47"/>
        <v>0</v>
      </c>
      <c r="R91" s="33">
        <f t="shared" si="48"/>
        <v>0</v>
      </c>
      <c r="S91" s="33">
        <f t="shared" si="49"/>
        <v>20950</v>
      </c>
      <c r="T91" s="33">
        <f t="shared" si="50"/>
        <v>12400</v>
      </c>
      <c r="U91" s="4">
        <f t="shared" si="51"/>
        <v>0</v>
      </c>
      <c r="V91" s="38">
        <f t="shared" si="52"/>
        <v>0</v>
      </c>
      <c r="W91" s="39">
        <f t="shared" si="53"/>
        <v>0</v>
      </c>
      <c r="X91" s="4">
        <f t="shared" si="54"/>
        <v>0</v>
      </c>
      <c r="Y91" s="4">
        <f t="shared" si="55"/>
        <v>0</v>
      </c>
      <c r="Z91" s="4">
        <f t="shared" si="56"/>
        <v>2514</v>
      </c>
      <c r="AA91" s="4">
        <f t="shared" si="57"/>
        <v>1240</v>
      </c>
      <c r="AB91" s="4">
        <f t="shared" si="58"/>
        <v>0</v>
      </c>
      <c r="AC91" s="38">
        <f t="shared" si="63"/>
        <v>3754</v>
      </c>
      <c r="AD91" s="40">
        <f t="shared" si="59"/>
        <v>0.222</v>
      </c>
    </row>
    <row r="92" spans="1:30" x14ac:dyDescent="0.3">
      <c r="A92" s="32">
        <f t="shared" si="60"/>
        <v>36500</v>
      </c>
      <c r="B92" s="33">
        <f t="shared" si="37"/>
        <v>0</v>
      </c>
      <c r="C92" s="33">
        <f t="shared" si="38"/>
        <v>36500</v>
      </c>
      <c r="D92" s="34">
        <f t="shared" si="39"/>
        <v>0</v>
      </c>
      <c r="E92" s="32">
        <f t="shared" si="40"/>
        <v>36000</v>
      </c>
      <c r="F92" s="33">
        <f t="shared" si="61"/>
        <v>54500</v>
      </c>
      <c r="G92" s="33">
        <f t="shared" si="41"/>
        <v>4500</v>
      </c>
      <c r="H92" s="33">
        <f t="shared" si="42"/>
        <v>17425</v>
      </c>
      <c r="I92" s="33">
        <f t="shared" si="66"/>
        <v>21925</v>
      </c>
      <c r="J92" s="42">
        <f t="shared" si="43"/>
        <v>0.85</v>
      </c>
      <c r="K92" s="33">
        <f t="shared" si="64"/>
        <v>58425</v>
      </c>
      <c r="L92" s="33">
        <f t="shared" si="44"/>
        <v>24150</v>
      </c>
      <c r="M92" s="32">
        <f t="shared" si="62"/>
        <v>34275</v>
      </c>
      <c r="N92" s="33">
        <f t="shared" si="45"/>
        <v>0</v>
      </c>
      <c r="O92" s="34">
        <f t="shared" si="65"/>
        <v>34275</v>
      </c>
      <c r="P92" s="32">
        <f t="shared" si="46"/>
        <v>0</v>
      </c>
      <c r="Q92" s="33">
        <f t="shared" si="47"/>
        <v>0</v>
      </c>
      <c r="R92" s="33">
        <f t="shared" si="48"/>
        <v>0</v>
      </c>
      <c r="S92" s="33">
        <f t="shared" si="49"/>
        <v>21875</v>
      </c>
      <c r="T92" s="33">
        <f t="shared" si="50"/>
        <v>12400</v>
      </c>
      <c r="U92" s="4">
        <f t="shared" si="51"/>
        <v>0</v>
      </c>
      <c r="V92" s="38">
        <f t="shared" si="52"/>
        <v>0</v>
      </c>
      <c r="W92" s="39">
        <f t="shared" si="53"/>
        <v>0</v>
      </c>
      <c r="X92" s="4">
        <f t="shared" si="54"/>
        <v>0</v>
      </c>
      <c r="Y92" s="4">
        <f t="shared" si="55"/>
        <v>0</v>
      </c>
      <c r="Z92" s="4">
        <f t="shared" si="56"/>
        <v>2625</v>
      </c>
      <c r="AA92" s="4">
        <f t="shared" si="57"/>
        <v>1240</v>
      </c>
      <c r="AB92" s="4">
        <f t="shared" si="58"/>
        <v>0</v>
      </c>
      <c r="AC92" s="38">
        <f t="shared" si="63"/>
        <v>3865</v>
      </c>
      <c r="AD92" s="40">
        <f t="shared" si="59"/>
        <v>0.222</v>
      </c>
    </row>
    <row r="93" spans="1:30" x14ac:dyDescent="0.3">
      <c r="A93" s="32">
        <f t="shared" si="60"/>
        <v>37000</v>
      </c>
      <c r="B93" s="33">
        <f t="shared" si="37"/>
        <v>0</v>
      </c>
      <c r="C93" s="33">
        <f t="shared" si="38"/>
        <v>37000</v>
      </c>
      <c r="D93" s="34">
        <f t="shared" si="39"/>
        <v>0</v>
      </c>
      <c r="E93" s="32">
        <f t="shared" si="40"/>
        <v>36000</v>
      </c>
      <c r="F93" s="33">
        <f t="shared" si="61"/>
        <v>55000</v>
      </c>
      <c r="G93" s="33">
        <f t="shared" si="41"/>
        <v>4500</v>
      </c>
      <c r="H93" s="33">
        <f t="shared" si="42"/>
        <v>17850</v>
      </c>
      <c r="I93" s="33">
        <f t="shared" si="66"/>
        <v>22350</v>
      </c>
      <c r="J93" s="42">
        <f t="shared" si="43"/>
        <v>0.85</v>
      </c>
      <c r="K93" s="33">
        <f t="shared" si="64"/>
        <v>59350</v>
      </c>
      <c r="L93" s="33">
        <f t="shared" si="44"/>
        <v>24150</v>
      </c>
      <c r="M93" s="32">
        <f t="shared" si="62"/>
        <v>35200</v>
      </c>
      <c r="N93" s="33">
        <f t="shared" si="45"/>
        <v>0</v>
      </c>
      <c r="O93" s="34">
        <f t="shared" si="65"/>
        <v>35200</v>
      </c>
      <c r="P93" s="32">
        <f t="shared" si="46"/>
        <v>0</v>
      </c>
      <c r="Q93" s="33">
        <f t="shared" si="47"/>
        <v>0</v>
      </c>
      <c r="R93" s="33">
        <f t="shared" si="48"/>
        <v>0</v>
      </c>
      <c r="S93" s="33">
        <f t="shared" si="49"/>
        <v>22800</v>
      </c>
      <c r="T93" s="33">
        <f t="shared" si="50"/>
        <v>12400</v>
      </c>
      <c r="U93" s="4">
        <f t="shared" si="51"/>
        <v>0</v>
      </c>
      <c r="V93" s="38">
        <f t="shared" si="52"/>
        <v>0</v>
      </c>
      <c r="W93" s="39">
        <f t="shared" si="53"/>
        <v>0</v>
      </c>
      <c r="X93" s="4">
        <f t="shared" si="54"/>
        <v>0</v>
      </c>
      <c r="Y93" s="4">
        <f t="shared" si="55"/>
        <v>0</v>
      </c>
      <c r="Z93" s="4">
        <f t="shared" si="56"/>
        <v>2736</v>
      </c>
      <c r="AA93" s="4">
        <f t="shared" si="57"/>
        <v>1240</v>
      </c>
      <c r="AB93" s="4">
        <f t="shared" si="58"/>
        <v>0</v>
      </c>
      <c r="AC93" s="38">
        <f t="shared" si="63"/>
        <v>3976</v>
      </c>
      <c r="AD93" s="40">
        <f t="shared" si="59"/>
        <v>0.222</v>
      </c>
    </row>
    <row r="94" spans="1:30" x14ac:dyDescent="0.3">
      <c r="A94" s="32">
        <f t="shared" si="60"/>
        <v>37500</v>
      </c>
      <c r="B94" s="33">
        <f t="shared" si="37"/>
        <v>0</v>
      </c>
      <c r="C94" s="33">
        <f t="shared" si="38"/>
        <v>37500</v>
      </c>
      <c r="D94" s="34">
        <f t="shared" si="39"/>
        <v>0</v>
      </c>
      <c r="E94" s="32">
        <f t="shared" si="40"/>
        <v>36000</v>
      </c>
      <c r="F94" s="33">
        <f t="shared" si="61"/>
        <v>55500</v>
      </c>
      <c r="G94" s="33">
        <f t="shared" si="41"/>
        <v>4500</v>
      </c>
      <c r="H94" s="33">
        <f t="shared" si="42"/>
        <v>18275</v>
      </c>
      <c r="I94" s="33">
        <f t="shared" si="66"/>
        <v>22775</v>
      </c>
      <c r="J94" s="42">
        <f t="shared" si="43"/>
        <v>0.85</v>
      </c>
      <c r="K94" s="33">
        <f t="shared" si="64"/>
        <v>60275</v>
      </c>
      <c r="L94" s="33">
        <f t="shared" si="44"/>
        <v>24150</v>
      </c>
      <c r="M94" s="32">
        <f t="shared" si="62"/>
        <v>36125</v>
      </c>
      <c r="N94" s="33">
        <f t="shared" si="45"/>
        <v>0</v>
      </c>
      <c r="O94" s="34">
        <f t="shared" si="65"/>
        <v>36125</v>
      </c>
      <c r="P94" s="32">
        <f t="shared" si="46"/>
        <v>0</v>
      </c>
      <c r="Q94" s="33">
        <f t="shared" si="47"/>
        <v>0</v>
      </c>
      <c r="R94" s="33">
        <f t="shared" si="48"/>
        <v>0</v>
      </c>
      <c r="S94" s="33">
        <f t="shared" si="49"/>
        <v>23725</v>
      </c>
      <c r="T94" s="33">
        <f t="shared" si="50"/>
        <v>12400</v>
      </c>
      <c r="U94" s="4">
        <f t="shared" si="51"/>
        <v>0</v>
      </c>
      <c r="V94" s="38">
        <f t="shared" si="52"/>
        <v>0</v>
      </c>
      <c r="W94" s="39">
        <f t="shared" si="53"/>
        <v>0</v>
      </c>
      <c r="X94" s="4">
        <f t="shared" si="54"/>
        <v>0</v>
      </c>
      <c r="Y94" s="4">
        <f t="shared" si="55"/>
        <v>0</v>
      </c>
      <c r="Z94" s="4">
        <f t="shared" si="56"/>
        <v>2847</v>
      </c>
      <c r="AA94" s="4">
        <f t="shared" si="57"/>
        <v>1240</v>
      </c>
      <c r="AB94" s="4">
        <f t="shared" si="58"/>
        <v>0</v>
      </c>
      <c r="AC94" s="38">
        <f t="shared" si="63"/>
        <v>4087</v>
      </c>
      <c r="AD94" s="40">
        <f t="shared" si="59"/>
        <v>0.222</v>
      </c>
    </row>
    <row r="95" spans="1:30" x14ac:dyDescent="0.3">
      <c r="A95" s="32">
        <f t="shared" si="60"/>
        <v>38000</v>
      </c>
      <c r="B95" s="33">
        <f t="shared" si="37"/>
        <v>0</v>
      </c>
      <c r="C95" s="33">
        <f t="shared" si="38"/>
        <v>38000</v>
      </c>
      <c r="D95" s="34">
        <f t="shared" si="39"/>
        <v>0</v>
      </c>
      <c r="E95" s="32">
        <f t="shared" si="40"/>
        <v>36000</v>
      </c>
      <c r="F95" s="33">
        <f t="shared" si="61"/>
        <v>56000</v>
      </c>
      <c r="G95" s="33">
        <f t="shared" si="41"/>
        <v>4500</v>
      </c>
      <c r="H95" s="33">
        <f t="shared" si="42"/>
        <v>18700</v>
      </c>
      <c r="I95" s="33">
        <f t="shared" si="66"/>
        <v>23200</v>
      </c>
      <c r="J95" s="42">
        <f t="shared" si="43"/>
        <v>0.85</v>
      </c>
      <c r="K95" s="33">
        <f t="shared" si="64"/>
        <v>61200</v>
      </c>
      <c r="L95" s="33">
        <f t="shared" si="44"/>
        <v>24150</v>
      </c>
      <c r="M95" s="32">
        <f t="shared" si="62"/>
        <v>37050</v>
      </c>
      <c r="N95" s="33">
        <f t="shared" si="45"/>
        <v>0</v>
      </c>
      <c r="O95" s="34">
        <f t="shared" si="65"/>
        <v>37050</v>
      </c>
      <c r="P95" s="32">
        <f t="shared" si="46"/>
        <v>0</v>
      </c>
      <c r="Q95" s="33">
        <f t="shared" si="47"/>
        <v>0</v>
      </c>
      <c r="R95" s="33">
        <f t="shared" si="48"/>
        <v>0</v>
      </c>
      <c r="S95" s="33">
        <f t="shared" si="49"/>
        <v>24650</v>
      </c>
      <c r="T95" s="33">
        <f t="shared" si="50"/>
        <v>12400</v>
      </c>
      <c r="U95" s="4">
        <f t="shared" si="51"/>
        <v>0</v>
      </c>
      <c r="V95" s="38">
        <f t="shared" si="52"/>
        <v>0</v>
      </c>
      <c r="W95" s="39">
        <f t="shared" si="53"/>
        <v>0</v>
      </c>
      <c r="X95" s="4">
        <f t="shared" si="54"/>
        <v>0</v>
      </c>
      <c r="Y95" s="4">
        <f t="shared" si="55"/>
        <v>0</v>
      </c>
      <c r="Z95" s="4">
        <f t="shared" si="56"/>
        <v>2958</v>
      </c>
      <c r="AA95" s="4">
        <f t="shared" si="57"/>
        <v>1240</v>
      </c>
      <c r="AB95" s="4">
        <f t="shared" si="58"/>
        <v>0</v>
      </c>
      <c r="AC95" s="38">
        <f t="shared" si="63"/>
        <v>4198</v>
      </c>
      <c r="AD95" s="40">
        <f t="shared" si="59"/>
        <v>0.222</v>
      </c>
    </row>
    <row r="96" spans="1:30" x14ac:dyDescent="0.3">
      <c r="A96" s="32">
        <f t="shared" si="60"/>
        <v>38500</v>
      </c>
      <c r="B96" s="33">
        <f t="shared" si="37"/>
        <v>0</v>
      </c>
      <c r="C96" s="33">
        <f t="shared" si="38"/>
        <v>38500</v>
      </c>
      <c r="D96" s="34">
        <f t="shared" si="39"/>
        <v>0</v>
      </c>
      <c r="E96" s="32">
        <f t="shared" si="40"/>
        <v>36000</v>
      </c>
      <c r="F96" s="33">
        <f t="shared" si="61"/>
        <v>56500</v>
      </c>
      <c r="G96" s="33">
        <f t="shared" si="41"/>
        <v>4500</v>
      </c>
      <c r="H96" s="33">
        <f t="shared" si="42"/>
        <v>19125</v>
      </c>
      <c r="I96" s="33">
        <f t="shared" si="66"/>
        <v>23625</v>
      </c>
      <c r="J96" s="42">
        <f t="shared" si="43"/>
        <v>0.85</v>
      </c>
      <c r="K96" s="33">
        <f t="shared" si="64"/>
        <v>62125</v>
      </c>
      <c r="L96" s="33">
        <f t="shared" si="44"/>
        <v>24150</v>
      </c>
      <c r="M96" s="32">
        <f t="shared" si="62"/>
        <v>37975</v>
      </c>
      <c r="N96" s="33">
        <f t="shared" si="45"/>
        <v>0</v>
      </c>
      <c r="O96" s="34">
        <f t="shared" si="65"/>
        <v>37975</v>
      </c>
      <c r="P96" s="32">
        <f t="shared" si="46"/>
        <v>0</v>
      </c>
      <c r="Q96" s="33">
        <f t="shared" si="47"/>
        <v>0</v>
      </c>
      <c r="R96" s="33">
        <f t="shared" si="48"/>
        <v>0</v>
      </c>
      <c r="S96" s="33">
        <f t="shared" si="49"/>
        <v>25575</v>
      </c>
      <c r="T96" s="33">
        <f t="shared" si="50"/>
        <v>12400</v>
      </c>
      <c r="U96" s="4">
        <f t="shared" si="51"/>
        <v>0</v>
      </c>
      <c r="V96" s="38">
        <f t="shared" si="52"/>
        <v>0</v>
      </c>
      <c r="W96" s="39">
        <f t="shared" si="53"/>
        <v>0</v>
      </c>
      <c r="X96" s="4">
        <f t="shared" si="54"/>
        <v>0</v>
      </c>
      <c r="Y96" s="4">
        <f t="shared" si="55"/>
        <v>0</v>
      </c>
      <c r="Z96" s="4">
        <f t="shared" si="56"/>
        <v>3069</v>
      </c>
      <c r="AA96" s="4">
        <f t="shared" si="57"/>
        <v>1240</v>
      </c>
      <c r="AB96" s="4">
        <f t="shared" si="58"/>
        <v>0</v>
      </c>
      <c r="AC96" s="38">
        <f t="shared" si="63"/>
        <v>4309</v>
      </c>
      <c r="AD96" s="40">
        <f t="shared" si="59"/>
        <v>0.222</v>
      </c>
    </row>
    <row r="97" spans="1:30" x14ac:dyDescent="0.3">
      <c r="A97" s="32">
        <f t="shared" si="60"/>
        <v>39000</v>
      </c>
      <c r="B97" s="33">
        <f t="shared" si="37"/>
        <v>0</v>
      </c>
      <c r="C97" s="33">
        <f t="shared" si="38"/>
        <v>39000</v>
      </c>
      <c r="D97" s="34">
        <f t="shared" si="39"/>
        <v>0</v>
      </c>
      <c r="E97" s="32">
        <f t="shared" si="40"/>
        <v>36000</v>
      </c>
      <c r="F97" s="33">
        <f t="shared" si="61"/>
        <v>57000</v>
      </c>
      <c r="G97" s="33">
        <f t="shared" si="41"/>
        <v>4500</v>
      </c>
      <c r="H97" s="33">
        <f t="shared" si="42"/>
        <v>19550</v>
      </c>
      <c r="I97" s="33">
        <f t="shared" si="66"/>
        <v>24050</v>
      </c>
      <c r="J97" s="42">
        <f t="shared" si="43"/>
        <v>0.85</v>
      </c>
      <c r="K97" s="33">
        <f t="shared" si="64"/>
        <v>63050</v>
      </c>
      <c r="L97" s="33">
        <f t="shared" si="44"/>
        <v>24150</v>
      </c>
      <c r="M97" s="32">
        <f t="shared" si="62"/>
        <v>38900</v>
      </c>
      <c r="N97" s="33">
        <f t="shared" si="45"/>
        <v>0</v>
      </c>
      <c r="O97" s="34">
        <f t="shared" si="65"/>
        <v>38900</v>
      </c>
      <c r="P97" s="32">
        <f t="shared" si="46"/>
        <v>0</v>
      </c>
      <c r="Q97" s="33">
        <f t="shared" si="47"/>
        <v>0</v>
      </c>
      <c r="R97" s="33">
        <f t="shared" si="48"/>
        <v>0</v>
      </c>
      <c r="S97" s="33">
        <f t="shared" si="49"/>
        <v>26500</v>
      </c>
      <c r="T97" s="33">
        <f t="shared" si="50"/>
        <v>12400</v>
      </c>
      <c r="U97" s="4">
        <f t="shared" si="51"/>
        <v>0</v>
      </c>
      <c r="V97" s="38">
        <f t="shared" si="52"/>
        <v>0</v>
      </c>
      <c r="W97" s="39">
        <f t="shared" si="53"/>
        <v>0</v>
      </c>
      <c r="X97" s="4">
        <f t="shared" si="54"/>
        <v>0</v>
      </c>
      <c r="Y97" s="4">
        <f t="shared" si="55"/>
        <v>0</v>
      </c>
      <c r="Z97" s="4">
        <f t="shared" si="56"/>
        <v>3180</v>
      </c>
      <c r="AA97" s="4">
        <f t="shared" si="57"/>
        <v>1240</v>
      </c>
      <c r="AB97" s="4">
        <f t="shared" si="58"/>
        <v>0</v>
      </c>
      <c r="AC97" s="38">
        <f t="shared" si="63"/>
        <v>4420</v>
      </c>
      <c r="AD97" s="40">
        <f t="shared" si="59"/>
        <v>0.222</v>
      </c>
    </row>
    <row r="98" spans="1:30" x14ac:dyDescent="0.3">
      <c r="A98" s="32">
        <f t="shared" si="60"/>
        <v>39500</v>
      </c>
      <c r="B98" s="33">
        <f t="shared" si="37"/>
        <v>0</v>
      </c>
      <c r="C98" s="33">
        <f t="shared" si="38"/>
        <v>39500</v>
      </c>
      <c r="D98" s="34">
        <f t="shared" si="39"/>
        <v>0</v>
      </c>
      <c r="E98" s="32">
        <f t="shared" si="40"/>
        <v>36000</v>
      </c>
      <c r="F98" s="33">
        <f t="shared" si="61"/>
        <v>57500</v>
      </c>
      <c r="G98" s="33">
        <f t="shared" si="41"/>
        <v>4500</v>
      </c>
      <c r="H98" s="33">
        <f t="shared" si="42"/>
        <v>19975</v>
      </c>
      <c r="I98" s="33">
        <f t="shared" si="66"/>
        <v>24475</v>
      </c>
      <c r="J98" s="42">
        <f t="shared" si="43"/>
        <v>0.85</v>
      </c>
      <c r="K98" s="33">
        <f t="shared" si="64"/>
        <v>63975</v>
      </c>
      <c r="L98" s="33">
        <f t="shared" si="44"/>
        <v>24150</v>
      </c>
      <c r="M98" s="32">
        <f t="shared" si="62"/>
        <v>39825</v>
      </c>
      <c r="N98" s="33">
        <f t="shared" si="45"/>
        <v>0</v>
      </c>
      <c r="O98" s="34">
        <f t="shared" si="65"/>
        <v>39825</v>
      </c>
      <c r="P98" s="32">
        <f t="shared" si="46"/>
        <v>0</v>
      </c>
      <c r="Q98" s="33">
        <f t="shared" si="47"/>
        <v>0</v>
      </c>
      <c r="R98" s="33">
        <f t="shared" si="48"/>
        <v>0</v>
      </c>
      <c r="S98" s="33">
        <f t="shared" si="49"/>
        <v>27425</v>
      </c>
      <c r="T98" s="33">
        <f t="shared" si="50"/>
        <v>12400</v>
      </c>
      <c r="U98" s="4">
        <f t="shared" si="51"/>
        <v>0</v>
      </c>
      <c r="V98" s="38">
        <f t="shared" si="52"/>
        <v>0</v>
      </c>
      <c r="W98" s="39">
        <f t="shared" si="53"/>
        <v>0</v>
      </c>
      <c r="X98" s="4">
        <f t="shared" si="54"/>
        <v>0</v>
      </c>
      <c r="Y98" s="4">
        <f t="shared" si="55"/>
        <v>0</v>
      </c>
      <c r="Z98" s="4">
        <f t="shared" si="56"/>
        <v>3291</v>
      </c>
      <c r="AA98" s="4">
        <f t="shared" si="57"/>
        <v>1240</v>
      </c>
      <c r="AB98" s="4">
        <f t="shared" si="58"/>
        <v>0</v>
      </c>
      <c r="AC98" s="38">
        <f t="shared" si="63"/>
        <v>4531</v>
      </c>
      <c r="AD98" s="40">
        <f t="shared" si="59"/>
        <v>0.222</v>
      </c>
    </row>
    <row r="99" spans="1:30" x14ac:dyDescent="0.3">
      <c r="A99" s="32">
        <f t="shared" si="60"/>
        <v>40000</v>
      </c>
      <c r="B99" s="33">
        <f t="shared" si="37"/>
        <v>0</v>
      </c>
      <c r="C99" s="33">
        <f t="shared" si="38"/>
        <v>40000</v>
      </c>
      <c r="D99" s="34">
        <f t="shared" si="39"/>
        <v>0</v>
      </c>
      <c r="E99" s="32">
        <f t="shared" si="40"/>
        <v>36000</v>
      </c>
      <c r="F99" s="33">
        <f t="shared" si="61"/>
        <v>58000</v>
      </c>
      <c r="G99" s="33">
        <f t="shared" si="41"/>
        <v>4500</v>
      </c>
      <c r="H99" s="33">
        <f t="shared" si="42"/>
        <v>20400</v>
      </c>
      <c r="I99" s="33">
        <f t="shared" si="66"/>
        <v>24900</v>
      </c>
      <c r="J99" s="42">
        <f t="shared" si="43"/>
        <v>0.85</v>
      </c>
      <c r="K99" s="33">
        <f t="shared" si="64"/>
        <v>64900</v>
      </c>
      <c r="L99" s="33">
        <f t="shared" si="44"/>
        <v>24150</v>
      </c>
      <c r="M99" s="32">
        <f t="shared" si="62"/>
        <v>40750</v>
      </c>
      <c r="N99" s="33">
        <f t="shared" si="45"/>
        <v>0</v>
      </c>
      <c r="O99" s="34">
        <f t="shared" si="65"/>
        <v>40750</v>
      </c>
      <c r="P99" s="32">
        <f t="shared" si="46"/>
        <v>0</v>
      </c>
      <c r="Q99" s="33">
        <f t="shared" si="47"/>
        <v>0</v>
      </c>
      <c r="R99" s="33">
        <f t="shared" si="48"/>
        <v>0</v>
      </c>
      <c r="S99" s="33">
        <f t="shared" si="49"/>
        <v>28350</v>
      </c>
      <c r="T99" s="33">
        <f t="shared" si="50"/>
        <v>12400</v>
      </c>
      <c r="U99" s="4">
        <f t="shared" si="51"/>
        <v>0</v>
      </c>
      <c r="V99" s="38">
        <f t="shared" si="52"/>
        <v>0</v>
      </c>
      <c r="W99" s="39">
        <f t="shared" si="53"/>
        <v>0</v>
      </c>
      <c r="X99" s="4">
        <f t="shared" si="54"/>
        <v>0</v>
      </c>
      <c r="Y99" s="4">
        <f t="shared" si="55"/>
        <v>0</v>
      </c>
      <c r="Z99" s="4">
        <f t="shared" si="56"/>
        <v>3402</v>
      </c>
      <c r="AA99" s="4">
        <f t="shared" si="57"/>
        <v>1240</v>
      </c>
      <c r="AB99" s="4">
        <f t="shared" si="58"/>
        <v>0</v>
      </c>
      <c r="AC99" s="38">
        <f t="shared" si="63"/>
        <v>4642</v>
      </c>
      <c r="AD99" s="40">
        <f t="shared" si="59"/>
        <v>0.222</v>
      </c>
    </row>
    <row r="100" spans="1:30" x14ac:dyDescent="0.3">
      <c r="A100" s="32">
        <f t="shared" si="60"/>
        <v>40500</v>
      </c>
      <c r="B100" s="33">
        <f t="shared" si="37"/>
        <v>0</v>
      </c>
      <c r="C100" s="33">
        <f t="shared" si="38"/>
        <v>40500</v>
      </c>
      <c r="D100" s="34">
        <f t="shared" si="39"/>
        <v>0</v>
      </c>
      <c r="E100" s="32">
        <f t="shared" si="40"/>
        <v>36000</v>
      </c>
      <c r="F100" s="33">
        <f t="shared" si="61"/>
        <v>58500</v>
      </c>
      <c r="G100" s="33">
        <f t="shared" si="41"/>
        <v>4500</v>
      </c>
      <c r="H100" s="33">
        <f t="shared" si="42"/>
        <v>20825</v>
      </c>
      <c r="I100" s="33">
        <f t="shared" si="66"/>
        <v>25325</v>
      </c>
      <c r="J100" s="42">
        <f t="shared" si="43"/>
        <v>0.85</v>
      </c>
      <c r="K100" s="33">
        <f t="shared" si="64"/>
        <v>65825</v>
      </c>
      <c r="L100" s="33">
        <f t="shared" si="44"/>
        <v>24150</v>
      </c>
      <c r="M100" s="32">
        <f t="shared" si="62"/>
        <v>41675</v>
      </c>
      <c r="N100" s="33">
        <f t="shared" si="45"/>
        <v>0</v>
      </c>
      <c r="O100" s="34">
        <f t="shared" si="65"/>
        <v>41675</v>
      </c>
      <c r="P100" s="32">
        <f t="shared" si="46"/>
        <v>0</v>
      </c>
      <c r="Q100" s="33">
        <f t="shared" si="47"/>
        <v>0</v>
      </c>
      <c r="R100" s="33">
        <f t="shared" si="48"/>
        <v>0</v>
      </c>
      <c r="S100" s="33">
        <f t="shared" si="49"/>
        <v>29275</v>
      </c>
      <c r="T100" s="33">
        <f t="shared" si="50"/>
        <v>12400</v>
      </c>
      <c r="U100" s="4">
        <f t="shared" si="51"/>
        <v>0</v>
      </c>
      <c r="V100" s="38">
        <f t="shared" si="52"/>
        <v>0</v>
      </c>
      <c r="W100" s="39">
        <f t="shared" si="53"/>
        <v>0</v>
      </c>
      <c r="X100" s="4">
        <f t="shared" si="54"/>
        <v>0</v>
      </c>
      <c r="Y100" s="4">
        <f t="shared" si="55"/>
        <v>0</v>
      </c>
      <c r="Z100" s="4">
        <f t="shared" si="56"/>
        <v>3513</v>
      </c>
      <c r="AA100" s="4">
        <f t="shared" si="57"/>
        <v>1240</v>
      </c>
      <c r="AB100" s="4">
        <f t="shared" si="58"/>
        <v>0</v>
      </c>
      <c r="AC100" s="38">
        <f t="shared" si="63"/>
        <v>4753</v>
      </c>
      <c r="AD100" s="40">
        <f t="shared" si="59"/>
        <v>0.222</v>
      </c>
    </row>
    <row r="101" spans="1:30" x14ac:dyDescent="0.3">
      <c r="A101" s="32">
        <f t="shared" si="60"/>
        <v>41000</v>
      </c>
      <c r="B101" s="33">
        <f t="shared" si="37"/>
        <v>0</v>
      </c>
      <c r="C101" s="33">
        <f t="shared" si="38"/>
        <v>41000</v>
      </c>
      <c r="D101" s="34">
        <f t="shared" si="39"/>
        <v>0</v>
      </c>
      <c r="E101" s="32">
        <f t="shared" si="40"/>
        <v>36000</v>
      </c>
      <c r="F101" s="33">
        <f t="shared" si="61"/>
        <v>59000</v>
      </c>
      <c r="G101" s="33">
        <f t="shared" si="41"/>
        <v>4500</v>
      </c>
      <c r="H101" s="33">
        <f t="shared" si="42"/>
        <v>21250</v>
      </c>
      <c r="I101" s="33">
        <f t="shared" si="66"/>
        <v>25750</v>
      </c>
      <c r="J101" s="42">
        <f t="shared" si="43"/>
        <v>0.85</v>
      </c>
      <c r="K101" s="33">
        <f t="shared" si="64"/>
        <v>66750</v>
      </c>
      <c r="L101" s="33">
        <f t="shared" si="44"/>
        <v>24150</v>
      </c>
      <c r="M101" s="32">
        <f t="shared" si="62"/>
        <v>42600</v>
      </c>
      <c r="N101" s="33">
        <f t="shared" si="45"/>
        <v>0</v>
      </c>
      <c r="O101" s="34">
        <f t="shared" si="65"/>
        <v>42600</v>
      </c>
      <c r="P101" s="32">
        <f t="shared" si="46"/>
        <v>0</v>
      </c>
      <c r="Q101" s="33">
        <f t="shared" si="47"/>
        <v>0</v>
      </c>
      <c r="R101" s="33">
        <f t="shared" si="48"/>
        <v>0</v>
      </c>
      <c r="S101" s="33">
        <f t="shared" si="49"/>
        <v>30200</v>
      </c>
      <c r="T101" s="33">
        <f t="shared" si="50"/>
        <v>12400</v>
      </c>
      <c r="U101" s="4">
        <f t="shared" si="51"/>
        <v>0</v>
      </c>
      <c r="V101" s="38">
        <f t="shared" si="52"/>
        <v>0</v>
      </c>
      <c r="W101" s="39">
        <f t="shared" si="53"/>
        <v>0</v>
      </c>
      <c r="X101" s="4">
        <f t="shared" si="54"/>
        <v>0</v>
      </c>
      <c r="Y101" s="4">
        <f t="shared" si="55"/>
        <v>0</v>
      </c>
      <c r="Z101" s="4">
        <f t="shared" si="56"/>
        <v>3624</v>
      </c>
      <c r="AA101" s="4">
        <f t="shared" si="57"/>
        <v>1240</v>
      </c>
      <c r="AB101" s="4">
        <f t="shared" si="58"/>
        <v>0</v>
      </c>
      <c r="AC101" s="38">
        <f t="shared" si="63"/>
        <v>4864</v>
      </c>
      <c r="AD101" s="40">
        <f t="shared" si="59"/>
        <v>0.222</v>
      </c>
    </row>
    <row r="102" spans="1:30" x14ac:dyDescent="0.3">
      <c r="A102" s="32">
        <f t="shared" si="60"/>
        <v>41500</v>
      </c>
      <c r="B102" s="33">
        <f t="shared" si="37"/>
        <v>0</v>
      </c>
      <c r="C102" s="33">
        <f t="shared" si="38"/>
        <v>41500</v>
      </c>
      <c r="D102" s="34">
        <f t="shared" si="39"/>
        <v>0</v>
      </c>
      <c r="E102" s="32">
        <f t="shared" si="40"/>
        <v>36000</v>
      </c>
      <c r="F102" s="33">
        <f t="shared" si="61"/>
        <v>59500</v>
      </c>
      <c r="G102" s="33">
        <f t="shared" si="41"/>
        <v>4500</v>
      </c>
      <c r="H102" s="33">
        <f t="shared" si="42"/>
        <v>21675</v>
      </c>
      <c r="I102" s="33">
        <f t="shared" si="66"/>
        <v>26175</v>
      </c>
      <c r="J102" s="42">
        <f t="shared" si="43"/>
        <v>0.85</v>
      </c>
      <c r="K102" s="33">
        <f t="shared" si="64"/>
        <v>67675</v>
      </c>
      <c r="L102" s="33">
        <f t="shared" si="44"/>
        <v>24150</v>
      </c>
      <c r="M102" s="32">
        <f t="shared" si="62"/>
        <v>43525</v>
      </c>
      <c r="N102" s="33">
        <f t="shared" si="45"/>
        <v>0</v>
      </c>
      <c r="O102" s="34">
        <f t="shared" si="65"/>
        <v>43525</v>
      </c>
      <c r="P102" s="32">
        <f t="shared" si="46"/>
        <v>0</v>
      </c>
      <c r="Q102" s="33">
        <f t="shared" si="47"/>
        <v>0</v>
      </c>
      <c r="R102" s="33">
        <f t="shared" si="48"/>
        <v>0</v>
      </c>
      <c r="S102" s="33">
        <f t="shared" si="49"/>
        <v>31125</v>
      </c>
      <c r="T102" s="33">
        <f t="shared" si="50"/>
        <v>12400</v>
      </c>
      <c r="U102" s="4">
        <f t="shared" si="51"/>
        <v>0</v>
      </c>
      <c r="V102" s="38">
        <f t="shared" si="52"/>
        <v>0</v>
      </c>
      <c r="W102" s="39">
        <f t="shared" si="53"/>
        <v>0</v>
      </c>
      <c r="X102" s="4">
        <f t="shared" si="54"/>
        <v>0</v>
      </c>
      <c r="Y102" s="4">
        <f t="shared" si="55"/>
        <v>0</v>
      </c>
      <c r="Z102" s="4">
        <f t="shared" si="56"/>
        <v>3735</v>
      </c>
      <c r="AA102" s="4">
        <f t="shared" si="57"/>
        <v>1240</v>
      </c>
      <c r="AB102" s="4">
        <f t="shared" si="58"/>
        <v>0</v>
      </c>
      <c r="AC102" s="38">
        <f t="shared" si="63"/>
        <v>4975</v>
      </c>
      <c r="AD102" s="40">
        <f t="shared" si="59"/>
        <v>0.222</v>
      </c>
    </row>
    <row r="103" spans="1:30" x14ac:dyDescent="0.3">
      <c r="A103" s="32">
        <f t="shared" si="60"/>
        <v>42000</v>
      </c>
      <c r="B103" s="33">
        <f t="shared" si="37"/>
        <v>0</v>
      </c>
      <c r="C103" s="33">
        <f t="shared" si="38"/>
        <v>42000</v>
      </c>
      <c r="D103" s="34">
        <f t="shared" si="39"/>
        <v>0</v>
      </c>
      <c r="E103" s="32">
        <f t="shared" si="40"/>
        <v>36000</v>
      </c>
      <c r="F103" s="33">
        <f t="shared" si="61"/>
        <v>60000</v>
      </c>
      <c r="G103" s="33">
        <f t="shared" si="41"/>
        <v>4500</v>
      </c>
      <c r="H103" s="33">
        <f t="shared" si="42"/>
        <v>22100</v>
      </c>
      <c r="I103" s="33">
        <f t="shared" si="66"/>
        <v>26600</v>
      </c>
      <c r="J103" s="42">
        <f t="shared" si="43"/>
        <v>0.85</v>
      </c>
      <c r="K103" s="33">
        <f t="shared" si="64"/>
        <v>68600</v>
      </c>
      <c r="L103" s="33">
        <f t="shared" si="44"/>
        <v>24150</v>
      </c>
      <c r="M103" s="32">
        <f t="shared" si="62"/>
        <v>44450</v>
      </c>
      <c r="N103" s="33">
        <f t="shared" si="45"/>
        <v>0</v>
      </c>
      <c r="O103" s="34">
        <f t="shared" si="65"/>
        <v>44450</v>
      </c>
      <c r="P103" s="32">
        <f t="shared" si="46"/>
        <v>0</v>
      </c>
      <c r="Q103" s="33">
        <f t="shared" si="47"/>
        <v>0</v>
      </c>
      <c r="R103" s="33">
        <f t="shared" si="48"/>
        <v>0</v>
      </c>
      <c r="S103" s="33">
        <f t="shared" si="49"/>
        <v>32050</v>
      </c>
      <c r="T103" s="33">
        <f t="shared" si="50"/>
        <v>12400</v>
      </c>
      <c r="U103" s="4">
        <f t="shared" si="51"/>
        <v>0</v>
      </c>
      <c r="V103" s="38">
        <f t="shared" si="52"/>
        <v>0</v>
      </c>
      <c r="W103" s="39">
        <f t="shared" si="53"/>
        <v>0</v>
      </c>
      <c r="X103" s="4">
        <f t="shared" si="54"/>
        <v>0</v>
      </c>
      <c r="Y103" s="4">
        <f t="shared" si="55"/>
        <v>0</v>
      </c>
      <c r="Z103" s="4">
        <f t="shared" si="56"/>
        <v>3846</v>
      </c>
      <c r="AA103" s="4">
        <f t="shared" si="57"/>
        <v>1240</v>
      </c>
      <c r="AB103" s="4">
        <f t="shared" si="58"/>
        <v>0</v>
      </c>
      <c r="AC103" s="38">
        <f t="shared" si="63"/>
        <v>5086</v>
      </c>
      <c r="AD103" s="40">
        <f t="shared" si="59"/>
        <v>0.222</v>
      </c>
    </row>
    <row r="104" spans="1:30" x14ac:dyDescent="0.3">
      <c r="A104" s="32">
        <f t="shared" si="60"/>
        <v>42500</v>
      </c>
      <c r="B104" s="33">
        <f t="shared" si="37"/>
        <v>0</v>
      </c>
      <c r="C104" s="33">
        <f t="shared" si="38"/>
        <v>42500</v>
      </c>
      <c r="D104" s="34">
        <f t="shared" si="39"/>
        <v>0</v>
      </c>
      <c r="E104" s="32">
        <f t="shared" si="40"/>
        <v>36000</v>
      </c>
      <c r="F104" s="33">
        <f t="shared" si="61"/>
        <v>60500</v>
      </c>
      <c r="G104" s="33">
        <f t="shared" si="41"/>
        <v>4500</v>
      </c>
      <c r="H104" s="33">
        <f t="shared" si="42"/>
        <v>22525</v>
      </c>
      <c r="I104" s="33">
        <f t="shared" si="66"/>
        <v>27025</v>
      </c>
      <c r="J104" s="42">
        <f t="shared" si="43"/>
        <v>0.85</v>
      </c>
      <c r="K104" s="33">
        <f t="shared" si="64"/>
        <v>69525</v>
      </c>
      <c r="L104" s="33">
        <f t="shared" si="44"/>
        <v>24150</v>
      </c>
      <c r="M104" s="32">
        <f t="shared" si="62"/>
        <v>45375</v>
      </c>
      <c r="N104" s="33">
        <f t="shared" si="45"/>
        <v>0</v>
      </c>
      <c r="O104" s="34">
        <f t="shared" si="65"/>
        <v>45375</v>
      </c>
      <c r="P104" s="32">
        <f t="shared" si="46"/>
        <v>0</v>
      </c>
      <c r="Q104" s="33">
        <f t="shared" si="47"/>
        <v>0</v>
      </c>
      <c r="R104" s="33">
        <f t="shared" si="48"/>
        <v>0</v>
      </c>
      <c r="S104" s="33">
        <f t="shared" si="49"/>
        <v>32975</v>
      </c>
      <c r="T104" s="33">
        <f t="shared" si="50"/>
        <v>12400</v>
      </c>
      <c r="U104" s="4">
        <f t="shared" si="51"/>
        <v>0</v>
      </c>
      <c r="V104" s="38">
        <f t="shared" si="52"/>
        <v>0</v>
      </c>
      <c r="W104" s="39">
        <f t="shared" si="53"/>
        <v>0</v>
      </c>
      <c r="X104" s="4">
        <f t="shared" si="54"/>
        <v>0</v>
      </c>
      <c r="Y104" s="4">
        <f t="shared" si="55"/>
        <v>0</v>
      </c>
      <c r="Z104" s="4">
        <f t="shared" si="56"/>
        <v>3957</v>
      </c>
      <c r="AA104" s="4">
        <f t="shared" si="57"/>
        <v>1240</v>
      </c>
      <c r="AB104" s="4">
        <f t="shared" si="58"/>
        <v>0</v>
      </c>
      <c r="AC104" s="38">
        <f t="shared" si="63"/>
        <v>5197</v>
      </c>
      <c r="AD104" s="40">
        <f t="shared" si="59"/>
        <v>0.222</v>
      </c>
    </row>
    <row r="105" spans="1:30" x14ac:dyDescent="0.3">
      <c r="A105" s="32">
        <f t="shared" si="60"/>
        <v>43000</v>
      </c>
      <c r="B105" s="33">
        <f t="shared" si="37"/>
        <v>0</v>
      </c>
      <c r="C105" s="33">
        <f t="shared" si="38"/>
        <v>43000</v>
      </c>
      <c r="D105" s="34">
        <f t="shared" si="39"/>
        <v>0</v>
      </c>
      <c r="E105" s="32">
        <f t="shared" si="40"/>
        <v>36000</v>
      </c>
      <c r="F105" s="33">
        <f t="shared" si="61"/>
        <v>61000</v>
      </c>
      <c r="G105" s="33">
        <f t="shared" si="41"/>
        <v>4500</v>
      </c>
      <c r="H105" s="33">
        <f t="shared" si="42"/>
        <v>22950</v>
      </c>
      <c r="I105" s="33">
        <f t="shared" si="66"/>
        <v>27450</v>
      </c>
      <c r="J105" s="42">
        <f t="shared" si="43"/>
        <v>0.85</v>
      </c>
      <c r="K105" s="33">
        <f t="shared" si="64"/>
        <v>70450</v>
      </c>
      <c r="L105" s="33">
        <f t="shared" si="44"/>
        <v>24150</v>
      </c>
      <c r="M105" s="32">
        <f t="shared" si="62"/>
        <v>46300</v>
      </c>
      <c r="N105" s="33">
        <f t="shared" si="45"/>
        <v>0</v>
      </c>
      <c r="O105" s="34">
        <f t="shared" si="65"/>
        <v>46300</v>
      </c>
      <c r="P105" s="32">
        <f t="shared" si="46"/>
        <v>0</v>
      </c>
      <c r="Q105" s="33">
        <f t="shared" si="47"/>
        <v>0</v>
      </c>
      <c r="R105" s="33">
        <f t="shared" si="48"/>
        <v>0</v>
      </c>
      <c r="S105" s="33">
        <f t="shared" si="49"/>
        <v>33900</v>
      </c>
      <c r="T105" s="33">
        <f t="shared" si="50"/>
        <v>12400</v>
      </c>
      <c r="U105" s="4">
        <f t="shared" si="51"/>
        <v>0</v>
      </c>
      <c r="V105" s="38">
        <f t="shared" si="52"/>
        <v>0</v>
      </c>
      <c r="W105" s="39">
        <f t="shared" si="53"/>
        <v>0</v>
      </c>
      <c r="X105" s="4">
        <f t="shared" si="54"/>
        <v>0</v>
      </c>
      <c r="Y105" s="4">
        <f t="shared" si="55"/>
        <v>0</v>
      </c>
      <c r="Z105" s="4">
        <f t="shared" si="56"/>
        <v>4068</v>
      </c>
      <c r="AA105" s="4">
        <f t="shared" si="57"/>
        <v>1240</v>
      </c>
      <c r="AB105" s="4">
        <f t="shared" si="58"/>
        <v>0</v>
      </c>
      <c r="AC105" s="38">
        <f t="shared" si="63"/>
        <v>5308</v>
      </c>
      <c r="AD105" s="40">
        <f t="shared" si="59"/>
        <v>0.222</v>
      </c>
    </row>
    <row r="106" spans="1:30" x14ac:dyDescent="0.3">
      <c r="A106" s="32">
        <f t="shared" si="60"/>
        <v>43500</v>
      </c>
      <c r="B106" s="33">
        <f t="shared" si="37"/>
        <v>0</v>
      </c>
      <c r="C106" s="33">
        <f t="shared" si="38"/>
        <v>43500</v>
      </c>
      <c r="D106" s="34">
        <f t="shared" si="39"/>
        <v>0</v>
      </c>
      <c r="E106" s="32">
        <f t="shared" si="40"/>
        <v>36000</v>
      </c>
      <c r="F106" s="33">
        <f t="shared" si="61"/>
        <v>61500</v>
      </c>
      <c r="G106" s="33">
        <f t="shared" si="41"/>
        <v>4500</v>
      </c>
      <c r="H106" s="33">
        <f t="shared" si="42"/>
        <v>23375</v>
      </c>
      <c r="I106" s="33">
        <f t="shared" si="66"/>
        <v>27875</v>
      </c>
      <c r="J106" s="42">
        <f t="shared" si="43"/>
        <v>0.85</v>
      </c>
      <c r="K106" s="33">
        <f t="shared" si="64"/>
        <v>71375</v>
      </c>
      <c r="L106" s="33">
        <f t="shared" si="44"/>
        <v>24150</v>
      </c>
      <c r="M106" s="32">
        <f t="shared" si="62"/>
        <v>47225</v>
      </c>
      <c r="N106" s="33">
        <f t="shared" si="45"/>
        <v>0</v>
      </c>
      <c r="O106" s="34">
        <f t="shared" si="65"/>
        <v>47225</v>
      </c>
      <c r="P106" s="32">
        <f t="shared" si="46"/>
        <v>0</v>
      </c>
      <c r="Q106" s="33">
        <f t="shared" si="47"/>
        <v>0</v>
      </c>
      <c r="R106" s="33">
        <f t="shared" si="48"/>
        <v>0</v>
      </c>
      <c r="S106" s="33">
        <f t="shared" si="49"/>
        <v>34825</v>
      </c>
      <c r="T106" s="33">
        <f t="shared" si="50"/>
        <v>12400</v>
      </c>
      <c r="U106" s="4">
        <f t="shared" si="51"/>
        <v>0</v>
      </c>
      <c r="V106" s="38">
        <f t="shared" si="52"/>
        <v>0</v>
      </c>
      <c r="W106" s="39">
        <f t="shared" si="53"/>
        <v>0</v>
      </c>
      <c r="X106" s="4">
        <f t="shared" si="54"/>
        <v>0</v>
      </c>
      <c r="Y106" s="4">
        <f t="shared" si="55"/>
        <v>0</v>
      </c>
      <c r="Z106" s="4">
        <f t="shared" si="56"/>
        <v>4179</v>
      </c>
      <c r="AA106" s="4">
        <f t="shared" si="57"/>
        <v>1240</v>
      </c>
      <c r="AB106" s="4">
        <f t="shared" si="58"/>
        <v>0</v>
      </c>
      <c r="AC106" s="38">
        <f t="shared" si="63"/>
        <v>5419</v>
      </c>
      <c r="AD106" s="40">
        <f t="shared" si="59"/>
        <v>0.222</v>
      </c>
    </row>
    <row r="107" spans="1:30" x14ac:dyDescent="0.3">
      <c r="A107" s="32">
        <f t="shared" si="60"/>
        <v>44000</v>
      </c>
      <c r="B107" s="33">
        <f t="shared" si="37"/>
        <v>0</v>
      </c>
      <c r="C107" s="33">
        <f t="shared" si="38"/>
        <v>44000</v>
      </c>
      <c r="D107" s="34">
        <f t="shared" si="39"/>
        <v>0</v>
      </c>
      <c r="E107" s="32">
        <f t="shared" si="40"/>
        <v>36000</v>
      </c>
      <c r="F107" s="33">
        <f t="shared" si="61"/>
        <v>62000</v>
      </c>
      <c r="G107" s="33">
        <f t="shared" si="41"/>
        <v>4500</v>
      </c>
      <c r="H107" s="33">
        <f t="shared" si="42"/>
        <v>23800</v>
      </c>
      <c r="I107" s="33">
        <f t="shared" si="66"/>
        <v>28300</v>
      </c>
      <c r="J107" s="42">
        <f t="shared" si="43"/>
        <v>0.85</v>
      </c>
      <c r="K107" s="33">
        <f t="shared" si="64"/>
        <v>72300</v>
      </c>
      <c r="L107" s="33">
        <f t="shared" si="44"/>
        <v>24150</v>
      </c>
      <c r="M107" s="32">
        <f t="shared" si="62"/>
        <v>48150</v>
      </c>
      <c r="N107" s="33">
        <f t="shared" si="45"/>
        <v>0</v>
      </c>
      <c r="O107" s="34">
        <f t="shared" si="65"/>
        <v>48150</v>
      </c>
      <c r="P107" s="32">
        <f t="shared" si="46"/>
        <v>0</v>
      </c>
      <c r="Q107" s="33">
        <f t="shared" si="47"/>
        <v>0</v>
      </c>
      <c r="R107" s="33">
        <f t="shared" si="48"/>
        <v>0</v>
      </c>
      <c r="S107" s="33">
        <f t="shared" si="49"/>
        <v>35750</v>
      </c>
      <c r="T107" s="33">
        <f t="shared" si="50"/>
        <v>12400</v>
      </c>
      <c r="U107" s="4">
        <f t="shared" si="51"/>
        <v>0</v>
      </c>
      <c r="V107" s="38">
        <f t="shared" si="52"/>
        <v>0</v>
      </c>
      <c r="W107" s="39">
        <f t="shared" si="53"/>
        <v>0</v>
      </c>
      <c r="X107" s="4">
        <f t="shared" si="54"/>
        <v>0</v>
      </c>
      <c r="Y107" s="4">
        <f t="shared" si="55"/>
        <v>0</v>
      </c>
      <c r="Z107" s="4">
        <f t="shared" si="56"/>
        <v>4290</v>
      </c>
      <c r="AA107" s="4">
        <f t="shared" si="57"/>
        <v>1240</v>
      </c>
      <c r="AB107" s="4">
        <f t="shared" si="58"/>
        <v>0</v>
      </c>
      <c r="AC107" s="38">
        <f t="shared" si="63"/>
        <v>5530</v>
      </c>
      <c r="AD107" s="40">
        <f t="shared" si="59"/>
        <v>0.222</v>
      </c>
    </row>
    <row r="108" spans="1:30" x14ac:dyDescent="0.3">
      <c r="A108" s="32">
        <f t="shared" si="60"/>
        <v>44500</v>
      </c>
      <c r="B108" s="33">
        <f t="shared" si="37"/>
        <v>0</v>
      </c>
      <c r="C108" s="33">
        <f t="shared" si="38"/>
        <v>44500</v>
      </c>
      <c r="D108" s="34">
        <f t="shared" si="39"/>
        <v>0</v>
      </c>
      <c r="E108" s="32">
        <f t="shared" si="40"/>
        <v>36000</v>
      </c>
      <c r="F108" s="33">
        <f t="shared" si="61"/>
        <v>62500</v>
      </c>
      <c r="G108" s="33">
        <f t="shared" si="41"/>
        <v>4500</v>
      </c>
      <c r="H108" s="33">
        <f t="shared" si="42"/>
        <v>24225</v>
      </c>
      <c r="I108" s="33">
        <f t="shared" si="66"/>
        <v>28725</v>
      </c>
      <c r="J108" s="42">
        <f t="shared" si="43"/>
        <v>0.85</v>
      </c>
      <c r="K108" s="33">
        <f t="shared" si="64"/>
        <v>73225</v>
      </c>
      <c r="L108" s="33">
        <f t="shared" si="44"/>
        <v>24150</v>
      </c>
      <c r="M108" s="32">
        <f t="shared" si="62"/>
        <v>49075</v>
      </c>
      <c r="N108" s="33">
        <f t="shared" si="45"/>
        <v>0</v>
      </c>
      <c r="O108" s="34">
        <f t="shared" si="65"/>
        <v>49075</v>
      </c>
      <c r="P108" s="32">
        <f t="shared" si="46"/>
        <v>0</v>
      </c>
      <c r="Q108" s="33">
        <f t="shared" si="47"/>
        <v>0</v>
      </c>
      <c r="R108" s="33">
        <f t="shared" si="48"/>
        <v>0</v>
      </c>
      <c r="S108" s="33">
        <f t="shared" si="49"/>
        <v>36675</v>
      </c>
      <c r="T108" s="33">
        <f t="shared" si="50"/>
        <v>12400</v>
      </c>
      <c r="U108" s="4">
        <f t="shared" si="51"/>
        <v>0</v>
      </c>
      <c r="V108" s="38">
        <f t="shared" si="52"/>
        <v>0</v>
      </c>
      <c r="W108" s="39">
        <f t="shared" si="53"/>
        <v>0</v>
      </c>
      <c r="X108" s="4">
        <f t="shared" si="54"/>
        <v>0</v>
      </c>
      <c r="Y108" s="4">
        <f t="shared" si="55"/>
        <v>0</v>
      </c>
      <c r="Z108" s="4">
        <f t="shared" si="56"/>
        <v>4401</v>
      </c>
      <c r="AA108" s="4">
        <f t="shared" si="57"/>
        <v>1240</v>
      </c>
      <c r="AB108" s="4">
        <f t="shared" si="58"/>
        <v>0</v>
      </c>
      <c r="AC108" s="38">
        <f t="shared" si="63"/>
        <v>5641</v>
      </c>
      <c r="AD108" s="40">
        <f t="shared" si="59"/>
        <v>0.222</v>
      </c>
    </row>
    <row r="109" spans="1:30" x14ac:dyDescent="0.3">
      <c r="A109" s="32">
        <f t="shared" si="60"/>
        <v>45000</v>
      </c>
      <c r="B109" s="33">
        <f t="shared" si="37"/>
        <v>0</v>
      </c>
      <c r="C109" s="33">
        <f t="shared" si="38"/>
        <v>45000</v>
      </c>
      <c r="D109" s="34">
        <f t="shared" si="39"/>
        <v>0</v>
      </c>
      <c r="E109" s="32">
        <f t="shared" si="40"/>
        <v>36000</v>
      </c>
      <c r="F109" s="33">
        <f t="shared" si="61"/>
        <v>63000</v>
      </c>
      <c r="G109" s="33">
        <f t="shared" si="41"/>
        <v>4500</v>
      </c>
      <c r="H109" s="33">
        <f t="shared" si="42"/>
        <v>24650</v>
      </c>
      <c r="I109" s="33">
        <f t="shared" si="66"/>
        <v>29150</v>
      </c>
      <c r="J109" s="42">
        <f t="shared" si="43"/>
        <v>0.85</v>
      </c>
      <c r="K109" s="33">
        <f t="shared" si="64"/>
        <v>74150</v>
      </c>
      <c r="L109" s="33">
        <f t="shared" si="44"/>
        <v>24150</v>
      </c>
      <c r="M109" s="32">
        <f t="shared" si="62"/>
        <v>50000</v>
      </c>
      <c r="N109" s="33">
        <f t="shared" si="45"/>
        <v>0</v>
      </c>
      <c r="O109" s="34">
        <f t="shared" si="65"/>
        <v>50000</v>
      </c>
      <c r="P109" s="32">
        <f t="shared" si="46"/>
        <v>0</v>
      </c>
      <c r="Q109" s="33">
        <f t="shared" si="47"/>
        <v>0</v>
      </c>
      <c r="R109" s="33">
        <f t="shared" si="48"/>
        <v>0</v>
      </c>
      <c r="S109" s="33">
        <f t="shared" si="49"/>
        <v>37600</v>
      </c>
      <c r="T109" s="33">
        <f t="shared" si="50"/>
        <v>12400</v>
      </c>
      <c r="U109" s="4">
        <f t="shared" si="51"/>
        <v>0</v>
      </c>
      <c r="V109" s="38">
        <f t="shared" si="52"/>
        <v>0</v>
      </c>
      <c r="W109" s="39">
        <f t="shared" si="53"/>
        <v>0</v>
      </c>
      <c r="X109" s="4">
        <f t="shared" si="54"/>
        <v>0</v>
      </c>
      <c r="Y109" s="4">
        <f t="shared" si="55"/>
        <v>0</v>
      </c>
      <c r="Z109" s="4">
        <f t="shared" si="56"/>
        <v>4512</v>
      </c>
      <c r="AA109" s="4">
        <f t="shared" si="57"/>
        <v>1240</v>
      </c>
      <c r="AB109" s="4">
        <f t="shared" si="58"/>
        <v>0</v>
      </c>
      <c r="AC109" s="38">
        <f t="shared" si="63"/>
        <v>5752</v>
      </c>
      <c r="AD109" s="40">
        <f t="shared" si="59"/>
        <v>0.32897999999999955</v>
      </c>
    </row>
    <row r="110" spans="1:30" x14ac:dyDescent="0.3">
      <c r="A110" s="32">
        <f t="shared" si="60"/>
        <v>45500</v>
      </c>
      <c r="B110" s="33">
        <f t="shared" si="37"/>
        <v>0</v>
      </c>
      <c r="C110" s="33">
        <f t="shared" si="38"/>
        <v>45500</v>
      </c>
      <c r="D110" s="34">
        <f t="shared" si="39"/>
        <v>0</v>
      </c>
      <c r="E110" s="32">
        <f t="shared" si="40"/>
        <v>36000</v>
      </c>
      <c r="F110" s="33">
        <f t="shared" si="61"/>
        <v>63500</v>
      </c>
      <c r="G110" s="33">
        <f t="shared" si="41"/>
        <v>4500</v>
      </c>
      <c r="H110" s="33">
        <f t="shared" si="42"/>
        <v>25075</v>
      </c>
      <c r="I110" s="33">
        <f t="shared" si="66"/>
        <v>29575</v>
      </c>
      <c r="J110" s="42">
        <f t="shared" si="43"/>
        <v>0.85</v>
      </c>
      <c r="K110" s="33">
        <f t="shared" si="64"/>
        <v>75075</v>
      </c>
      <c r="L110" s="33">
        <f t="shared" si="44"/>
        <v>24145.5</v>
      </c>
      <c r="M110" s="32">
        <f t="shared" si="62"/>
        <v>50929.5</v>
      </c>
      <c r="N110" s="33">
        <f t="shared" si="45"/>
        <v>0</v>
      </c>
      <c r="O110" s="34">
        <f t="shared" si="65"/>
        <v>50929.5</v>
      </c>
      <c r="P110" s="32">
        <f t="shared" si="46"/>
        <v>0</v>
      </c>
      <c r="Q110" s="33">
        <f t="shared" si="47"/>
        <v>0</v>
      </c>
      <c r="R110" s="33">
        <f t="shared" si="48"/>
        <v>529.5</v>
      </c>
      <c r="S110" s="33">
        <f t="shared" si="49"/>
        <v>38000</v>
      </c>
      <c r="T110" s="33">
        <f t="shared" si="50"/>
        <v>12400</v>
      </c>
      <c r="U110" s="4">
        <f t="shared" si="51"/>
        <v>0</v>
      </c>
      <c r="V110" s="38">
        <f t="shared" si="52"/>
        <v>0</v>
      </c>
      <c r="W110" s="39">
        <f t="shared" si="53"/>
        <v>0</v>
      </c>
      <c r="X110" s="4">
        <f t="shared" si="54"/>
        <v>0</v>
      </c>
      <c r="Y110" s="4">
        <f t="shared" si="55"/>
        <v>116.49</v>
      </c>
      <c r="Z110" s="4">
        <f t="shared" si="56"/>
        <v>4560</v>
      </c>
      <c r="AA110" s="4">
        <f t="shared" si="57"/>
        <v>1240</v>
      </c>
      <c r="AB110" s="4">
        <f t="shared" si="58"/>
        <v>0</v>
      </c>
      <c r="AC110" s="38">
        <f t="shared" si="63"/>
        <v>5916.49</v>
      </c>
      <c r="AD110" s="40">
        <f t="shared" si="59"/>
        <v>0.43142000000000008</v>
      </c>
    </row>
    <row r="111" spans="1:30" x14ac:dyDescent="0.3">
      <c r="A111" s="32">
        <f t="shared" si="60"/>
        <v>46000</v>
      </c>
      <c r="B111" s="33">
        <f t="shared" si="37"/>
        <v>0</v>
      </c>
      <c r="C111" s="33">
        <f t="shared" si="38"/>
        <v>46000</v>
      </c>
      <c r="D111" s="34">
        <f t="shared" si="39"/>
        <v>0</v>
      </c>
      <c r="E111" s="32">
        <f t="shared" si="40"/>
        <v>36000</v>
      </c>
      <c r="F111" s="33">
        <f t="shared" si="61"/>
        <v>64000</v>
      </c>
      <c r="G111" s="33">
        <f t="shared" si="41"/>
        <v>4500</v>
      </c>
      <c r="H111" s="33">
        <f t="shared" si="42"/>
        <v>25500</v>
      </c>
      <c r="I111" s="33">
        <f t="shared" si="66"/>
        <v>30000</v>
      </c>
      <c r="J111" s="42">
        <f t="shared" si="43"/>
        <v>0.85</v>
      </c>
      <c r="K111" s="33">
        <f t="shared" si="64"/>
        <v>76000</v>
      </c>
      <c r="L111" s="33">
        <f t="shared" si="44"/>
        <v>24090</v>
      </c>
      <c r="M111" s="32">
        <f t="shared" si="62"/>
        <v>51910</v>
      </c>
      <c r="N111" s="33">
        <f t="shared" si="45"/>
        <v>0</v>
      </c>
      <c r="O111" s="34">
        <f t="shared" si="65"/>
        <v>51910</v>
      </c>
      <c r="P111" s="32">
        <f t="shared" si="46"/>
        <v>0</v>
      </c>
      <c r="Q111" s="33">
        <f t="shared" si="47"/>
        <v>0</v>
      </c>
      <c r="R111" s="33">
        <f t="shared" si="48"/>
        <v>1510</v>
      </c>
      <c r="S111" s="33">
        <f t="shared" si="49"/>
        <v>38000</v>
      </c>
      <c r="T111" s="33">
        <f t="shared" si="50"/>
        <v>12400</v>
      </c>
      <c r="U111" s="4">
        <f t="shared" si="51"/>
        <v>0</v>
      </c>
      <c r="V111" s="38">
        <f t="shared" si="52"/>
        <v>0</v>
      </c>
      <c r="W111" s="39">
        <f t="shared" si="53"/>
        <v>0</v>
      </c>
      <c r="X111" s="4">
        <f t="shared" si="54"/>
        <v>0</v>
      </c>
      <c r="Y111" s="4">
        <f t="shared" si="55"/>
        <v>332.2</v>
      </c>
      <c r="Z111" s="4">
        <f t="shared" si="56"/>
        <v>4560</v>
      </c>
      <c r="AA111" s="4">
        <f t="shared" si="57"/>
        <v>1240</v>
      </c>
      <c r="AB111" s="4">
        <f t="shared" si="58"/>
        <v>0</v>
      </c>
      <c r="AC111" s="38">
        <f t="shared" si="63"/>
        <v>6132.2</v>
      </c>
      <c r="AD111" s="40">
        <f t="shared" si="59"/>
        <v>0.43142000000000008</v>
      </c>
    </row>
    <row r="112" spans="1:30" x14ac:dyDescent="0.3">
      <c r="A112" s="32">
        <f t="shared" si="60"/>
        <v>46500</v>
      </c>
      <c r="B112" s="33">
        <f t="shared" si="37"/>
        <v>0</v>
      </c>
      <c r="C112" s="33">
        <f t="shared" si="38"/>
        <v>46500</v>
      </c>
      <c r="D112" s="34">
        <f t="shared" si="39"/>
        <v>0</v>
      </c>
      <c r="E112" s="32">
        <f t="shared" si="40"/>
        <v>36000</v>
      </c>
      <c r="F112" s="33">
        <f t="shared" si="61"/>
        <v>64500</v>
      </c>
      <c r="G112" s="33">
        <f t="shared" si="41"/>
        <v>4500</v>
      </c>
      <c r="H112" s="33">
        <f t="shared" si="42"/>
        <v>25925</v>
      </c>
      <c r="I112" s="33">
        <f t="shared" si="66"/>
        <v>30425</v>
      </c>
      <c r="J112" s="42">
        <f t="shared" si="43"/>
        <v>0.35</v>
      </c>
      <c r="K112" s="33">
        <f t="shared" si="64"/>
        <v>76925</v>
      </c>
      <c r="L112" s="33">
        <f t="shared" si="44"/>
        <v>24034.5</v>
      </c>
      <c r="M112" s="32">
        <f t="shared" si="62"/>
        <v>52890.5</v>
      </c>
      <c r="N112" s="33">
        <f t="shared" si="45"/>
        <v>0</v>
      </c>
      <c r="O112" s="34">
        <f t="shared" si="65"/>
        <v>52890.5</v>
      </c>
      <c r="P112" s="32">
        <f t="shared" si="46"/>
        <v>0</v>
      </c>
      <c r="Q112" s="33">
        <f t="shared" si="47"/>
        <v>0</v>
      </c>
      <c r="R112" s="33">
        <f t="shared" si="48"/>
        <v>2490.5</v>
      </c>
      <c r="S112" s="33">
        <f t="shared" si="49"/>
        <v>38000</v>
      </c>
      <c r="T112" s="33">
        <f t="shared" si="50"/>
        <v>12400</v>
      </c>
      <c r="U112" s="4">
        <f t="shared" si="51"/>
        <v>0</v>
      </c>
      <c r="V112" s="38">
        <f t="shared" si="52"/>
        <v>0</v>
      </c>
      <c r="W112" s="39">
        <f t="shared" si="53"/>
        <v>0</v>
      </c>
      <c r="X112" s="4">
        <f t="shared" si="54"/>
        <v>0</v>
      </c>
      <c r="Y112" s="4">
        <f t="shared" si="55"/>
        <v>547.91</v>
      </c>
      <c r="Z112" s="4">
        <f t="shared" si="56"/>
        <v>4560</v>
      </c>
      <c r="AA112" s="4">
        <f t="shared" si="57"/>
        <v>1240</v>
      </c>
      <c r="AB112" s="4">
        <f t="shared" si="58"/>
        <v>0</v>
      </c>
      <c r="AC112" s="38">
        <f t="shared" si="63"/>
        <v>6347.91</v>
      </c>
      <c r="AD112" s="40">
        <f t="shared" si="59"/>
        <v>0.31481999999999971</v>
      </c>
    </row>
    <row r="113" spans="1:30" x14ac:dyDescent="0.3">
      <c r="A113" s="32">
        <f t="shared" si="60"/>
        <v>47000</v>
      </c>
      <c r="B113" s="33">
        <f t="shared" si="37"/>
        <v>0</v>
      </c>
      <c r="C113" s="33">
        <f t="shared" si="38"/>
        <v>47000</v>
      </c>
      <c r="D113" s="34">
        <f t="shared" si="39"/>
        <v>0</v>
      </c>
      <c r="E113" s="32">
        <f t="shared" si="40"/>
        <v>36000</v>
      </c>
      <c r="F113" s="33">
        <f t="shared" si="61"/>
        <v>65000</v>
      </c>
      <c r="G113" s="33">
        <f t="shared" si="41"/>
        <v>4500</v>
      </c>
      <c r="H113" s="33">
        <f t="shared" si="42"/>
        <v>26100</v>
      </c>
      <c r="I113" s="33">
        <f t="shared" si="66"/>
        <v>30600</v>
      </c>
      <c r="J113" s="42">
        <f t="shared" si="43"/>
        <v>0</v>
      </c>
      <c r="K113" s="33">
        <f t="shared" si="64"/>
        <v>77600</v>
      </c>
      <c r="L113" s="33">
        <f t="shared" si="44"/>
        <v>23994</v>
      </c>
      <c r="M113" s="32">
        <f t="shared" si="62"/>
        <v>53606</v>
      </c>
      <c r="N113" s="33">
        <f t="shared" si="45"/>
        <v>0</v>
      </c>
      <c r="O113" s="34">
        <f t="shared" si="65"/>
        <v>53606</v>
      </c>
      <c r="P113" s="32">
        <f t="shared" si="46"/>
        <v>0</v>
      </c>
      <c r="Q113" s="33">
        <f t="shared" si="47"/>
        <v>0</v>
      </c>
      <c r="R113" s="33">
        <f t="shared" si="48"/>
        <v>3206</v>
      </c>
      <c r="S113" s="33">
        <f t="shared" si="49"/>
        <v>38000</v>
      </c>
      <c r="T113" s="33">
        <f t="shared" si="50"/>
        <v>12400</v>
      </c>
      <c r="U113" s="4">
        <f t="shared" si="51"/>
        <v>0</v>
      </c>
      <c r="V113" s="38">
        <f t="shared" si="52"/>
        <v>0</v>
      </c>
      <c r="W113" s="39">
        <f t="shared" si="53"/>
        <v>0</v>
      </c>
      <c r="X113" s="4">
        <f t="shared" si="54"/>
        <v>0</v>
      </c>
      <c r="Y113" s="4">
        <f t="shared" si="55"/>
        <v>705.32</v>
      </c>
      <c r="Z113" s="4">
        <f t="shared" si="56"/>
        <v>4560</v>
      </c>
      <c r="AA113" s="4">
        <f t="shared" si="57"/>
        <v>1240</v>
      </c>
      <c r="AB113" s="4">
        <f t="shared" si="58"/>
        <v>0</v>
      </c>
      <c r="AC113" s="38">
        <f t="shared" si="63"/>
        <v>6505.32</v>
      </c>
      <c r="AD113" s="40">
        <f t="shared" si="59"/>
        <v>0.23320000000000074</v>
      </c>
    </row>
    <row r="114" spans="1:30" x14ac:dyDescent="0.3">
      <c r="A114" s="32">
        <f t="shared" si="60"/>
        <v>47500</v>
      </c>
      <c r="B114" s="33">
        <f t="shared" si="37"/>
        <v>0</v>
      </c>
      <c r="C114" s="33">
        <f t="shared" si="38"/>
        <v>47500</v>
      </c>
      <c r="D114" s="34">
        <f t="shared" si="39"/>
        <v>0</v>
      </c>
      <c r="E114" s="32">
        <f t="shared" si="40"/>
        <v>36000</v>
      </c>
      <c r="F114" s="33">
        <f t="shared" si="61"/>
        <v>65500</v>
      </c>
      <c r="G114" s="33">
        <f t="shared" si="41"/>
        <v>4500</v>
      </c>
      <c r="H114" s="33">
        <f t="shared" si="42"/>
        <v>26100</v>
      </c>
      <c r="I114" s="33">
        <f t="shared" si="66"/>
        <v>30600</v>
      </c>
      <c r="J114" s="42">
        <f t="shared" si="43"/>
        <v>0</v>
      </c>
      <c r="K114" s="33">
        <f t="shared" si="64"/>
        <v>78100</v>
      </c>
      <c r="L114" s="33">
        <f t="shared" si="44"/>
        <v>23964</v>
      </c>
      <c r="M114" s="32">
        <f t="shared" si="62"/>
        <v>54136</v>
      </c>
      <c r="N114" s="33">
        <f t="shared" si="45"/>
        <v>0</v>
      </c>
      <c r="O114" s="34">
        <f t="shared" si="65"/>
        <v>54136</v>
      </c>
      <c r="P114" s="32">
        <f t="shared" si="46"/>
        <v>0</v>
      </c>
      <c r="Q114" s="33">
        <f t="shared" si="47"/>
        <v>0</v>
      </c>
      <c r="R114" s="33">
        <f t="shared" si="48"/>
        <v>3736</v>
      </c>
      <c r="S114" s="33">
        <f t="shared" si="49"/>
        <v>38000</v>
      </c>
      <c r="T114" s="33">
        <f t="shared" si="50"/>
        <v>12400</v>
      </c>
      <c r="U114" s="4">
        <f t="shared" si="51"/>
        <v>0</v>
      </c>
      <c r="V114" s="38">
        <f t="shared" si="52"/>
        <v>0</v>
      </c>
      <c r="W114" s="39">
        <f t="shared" si="53"/>
        <v>0</v>
      </c>
      <c r="X114" s="4">
        <f t="shared" si="54"/>
        <v>0</v>
      </c>
      <c r="Y114" s="4">
        <f t="shared" si="55"/>
        <v>821.92</v>
      </c>
      <c r="Z114" s="4">
        <f t="shared" si="56"/>
        <v>4560</v>
      </c>
      <c r="AA114" s="4">
        <f t="shared" si="57"/>
        <v>1240</v>
      </c>
      <c r="AB114" s="4">
        <f t="shared" si="58"/>
        <v>0</v>
      </c>
      <c r="AC114" s="38">
        <f t="shared" si="63"/>
        <v>6621.92</v>
      </c>
      <c r="AD114" s="40">
        <f t="shared" si="59"/>
        <v>0.23320000000000074</v>
      </c>
    </row>
    <row r="115" spans="1:30" x14ac:dyDescent="0.3">
      <c r="A115" s="32">
        <f t="shared" si="60"/>
        <v>48000</v>
      </c>
      <c r="B115" s="33">
        <f t="shared" si="37"/>
        <v>0</v>
      </c>
      <c r="C115" s="33">
        <f t="shared" si="38"/>
        <v>48000</v>
      </c>
      <c r="D115" s="34">
        <f t="shared" si="39"/>
        <v>0</v>
      </c>
      <c r="E115" s="32">
        <f t="shared" si="40"/>
        <v>36000</v>
      </c>
      <c r="F115" s="33">
        <f t="shared" si="61"/>
        <v>66000</v>
      </c>
      <c r="G115" s="33">
        <f t="shared" si="41"/>
        <v>4500</v>
      </c>
      <c r="H115" s="33">
        <f t="shared" si="42"/>
        <v>26100</v>
      </c>
      <c r="I115" s="33">
        <f t="shared" si="66"/>
        <v>30600</v>
      </c>
      <c r="J115" s="42">
        <f t="shared" ref="J115:J146" si="67">(I116-I115)/B$12</f>
        <v>0</v>
      </c>
      <c r="K115" s="33">
        <f t="shared" si="64"/>
        <v>78600</v>
      </c>
      <c r="L115" s="33">
        <f t="shared" si="44"/>
        <v>23934</v>
      </c>
      <c r="M115" s="32">
        <f t="shared" si="62"/>
        <v>54666</v>
      </c>
      <c r="N115" s="33">
        <f t="shared" si="45"/>
        <v>0</v>
      </c>
      <c r="O115" s="34">
        <f t="shared" si="65"/>
        <v>54666</v>
      </c>
      <c r="P115" s="32">
        <f t="shared" si="46"/>
        <v>0</v>
      </c>
      <c r="Q115" s="33">
        <f t="shared" si="47"/>
        <v>0</v>
      </c>
      <c r="R115" s="33">
        <f t="shared" si="48"/>
        <v>4266</v>
      </c>
      <c r="S115" s="33">
        <f t="shared" si="49"/>
        <v>38000</v>
      </c>
      <c r="T115" s="33">
        <f t="shared" si="50"/>
        <v>12400</v>
      </c>
      <c r="U115" s="4">
        <f t="shared" si="51"/>
        <v>0</v>
      </c>
      <c r="V115" s="38">
        <f t="shared" si="52"/>
        <v>0</v>
      </c>
      <c r="W115" s="39">
        <f t="shared" si="53"/>
        <v>0</v>
      </c>
      <c r="X115" s="4">
        <f t="shared" si="54"/>
        <v>0</v>
      </c>
      <c r="Y115" s="4">
        <f t="shared" si="55"/>
        <v>938.52</v>
      </c>
      <c r="Z115" s="4">
        <f t="shared" si="56"/>
        <v>4560</v>
      </c>
      <c r="AA115" s="4">
        <f t="shared" si="57"/>
        <v>1240</v>
      </c>
      <c r="AB115" s="4">
        <f t="shared" si="58"/>
        <v>0</v>
      </c>
      <c r="AC115" s="38">
        <f t="shared" si="63"/>
        <v>6738.52</v>
      </c>
      <c r="AD115" s="40">
        <f t="shared" ref="AD115:AD146" si="68">(AC116-AC115)/B$12</f>
        <v>0.23319999999999891</v>
      </c>
    </row>
    <row r="116" spans="1:30" x14ac:dyDescent="0.3">
      <c r="A116" s="32">
        <f t="shared" ref="A116:A147" si="69">A115+B$12</f>
        <v>48500</v>
      </c>
      <c r="B116" s="33">
        <f t="shared" si="37"/>
        <v>0</v>
      </c>
      <c r="C116" s="33">
        <f t="shared" si="38"/>
        <v>48500</v>
      </c>
      <c r="D116" s="34">
        <f t="shared" si="39"/>
        <v>0</v>
      </c>
      <c r="E116" s="32">
        <f t="shared" si="40"/>
        <v>36000</v>
      </c>
      <c r="F116" s="33">
        <f t="shared" si="61"/>
        <v>66500</v>
      </c>
      <c r="G116" s="33">
        <f t="shared" si="41"/>
        <v>4500</v>
      </c>
      <c r="H116" s="33">
        <f t="shared" si="42"/>
        <v>26100</v>
      </c>
      <c r="I116" s="33">
        <f t="shared" si="66"/>
        <v>30600</v>
      </c>
      <c r="J116" s="42">
        <f t="shared" si="67"/>
        <v>0</v>
      </c>
      <c r="K116" s="33">
        <f t="shared" si="64"/>
        <v>79100</v>
      </c>
      <c r="L116" s="33">
        <f t="shared" si="44"/>
        <v>23904</v>
      </c>
      <c r="M116" s="32">
        <f t="shared" si="62"/>
        <v>55196</v>
      </c>
      <c r="N116" s="33">
        <f t="shared" si="45"/>
        <v>0</v>
      </c>
      <c r="O116" s="34">
        <f t="shared" si="65"/>
        <v>55196</v>
      </c>
      <c r="P116" s="32">
        <f t="shared" si="46"/>
        <v>0</v>
      </c>
      <c r="Q116" s="33">
        <f t="shared" si="47"/>
        <v>0</v>
      </c>
      <c r="R116" s="33">
        <f t="shared" si="48"/>
        <v>4796</v>
      </c>
      <c r="S116" s="33">
        <f t="shared" si="49"/>
        <v>38000</v>
      </c>
      <c r="T116" s="33">
        <f t="shared" si="50"/>
        <v>12400</v>
      </c>
      <c r="U116" s="4">
        <f t="shared" si="51"/>
        <v>0</v>
      </c>
      <c r="V116" s="38">
        <f t="shared" si="52"/>
        <v>0</v>
      </c>
      <c r="W116" s="39">
        <f t="shared" si="53"/>
        <v>0</v>
      </c>
      <c r="X116" s="4">
        <f t="shared" si="54"/>
        <v>0</v>
      </c>
      <c r="Y116" s="4">
        <f t="shared" si="55"/>
        <v>1055.1200000000001</v>
      </c>
      <c r="Z116" s="4">
        <f t="shared" si="56"/>
        <v>4560</v>
      </c>
      <c r="AA116" s="4">
        <f t="shared" si="57"/>
        <v>1240</v>
      </c>
      <c r="AB116" s="4">
        <f t="shared" si="58"/>
        <v>0</v>
      </c>
      <c r="AC116" s="38">
        <f t="shared" si="63"/>
        <v>6855.12</v>
      </c>
      <c r="AD116" s="40">
        <f t="shared" si="68"/>
        <v>0.23320000000000074</v>
      </c>
    </row>
    <row r="117" spans="1:30" x14ac:dyDescent="0.3">
      <c r="A117" s="32">
        <f t="shared" si="69"/>
        <v>49000</v>
      </c>
      <c r="B117" s="33">
        <f t="shared" si="37"/>
        <v>0</v>
      </c>
      <c r="C117" s="33">
        <f t="shared" si="38"/>
        <v>49000</v>
      </c>
      <c r="D117" s="34">
        <f t="shared" si="39"/>
        <v>0</v>
      </c>
      <c r="E117" s="32">
        <f t="shared" si="40"/>
        <v>36000</v>
      </c>
      <c r="F117" s="33">
        <f t="shared" si="61"/>
        <v>67000</v>
      </c>
      <c r="G117" s="33">
        <f t="shared" si="41"/>
        <v>4500</v>
      </c>
      <c r="H117" s="33">
        <f t="shared" si="42"/>
        <v>26100</v>
      </c>
      <c r="I117" s="33">
        <f t="shared" si="66"/>
        <v>30600</v>
      </c>
      <c r="J117" s="42">
        <f t="shared" si="67"/>
        <v>0</v>
      </c>
      <c r="K117" s="33">
        <f t="shared" si="64"/>
        <v>79600</v>
      </c>
      <c r="L117" s="33">
        <f t="shared" si="44"/>
        <v>23874</v>
      </c>
      <c r="M117" s="32">
        <f t="shared" si="62"/>
        <v>55726</v>
      </c>
      <c r="N117" s="33">
        <f t="shared" si="45"/>
        <v>0</v>
      </c>
      <c r="O117" s="34">
        <f t="shared" si="65"/>
        <v>55726</v>
      </c>
      <c r="P117" s="32">
        <f t="shared" si="46"/>
        <v>0</v>
      </c>
      <c r="Q117" s="33">
        <f t="shared" si="47"/>
        <v>0</v>
      </c>
      <c r="R117" s="33">
        <f t="shared" si="48"/>
        <v>5326</v>
      </c>
      <c r="S117" s="33">
        <f t="shared" si="49"/>
        <v>38000</v>
      </c>
      <c r="T117" s="33">
        <f t="shared" si="50"/>
        <v>12400</v>
      </c>
      <c r="U117" s="4">
        <f t="shared" si="51"/>
        <v>0</v>
      </c>
      <c r="V117" s="38">
        <f t="shared" si="52"/>
        <v>0</v>
      </c>
      <c r="W117" s="39">
        <f t="shared" si="53"/>
        <v>0</v>
      </c>
      <c r="X117" s="4">
        <f t="shared" si="54"/>
        <v>0</v>
      </c>
      <c r="Y117" s="4">
        <f t="shared" si="55"/>
        <v>1171.72</v>
      </c>
      <c r="Z117" s="4">
        <f t="shared" si="56"/>
        <v>4560</v>
      </c>
      <c r="AA117" s="4">
        <f t="shared" si="57"/>
        <v>1240</v>
      </c>
      <c r="AB117" s="4">
        <f t="shared" si="58"/>
        <v>0</v>
      </c>
      <c r="AC117" s="38">
        <f t="shared" si="63"/>
        <v>6971.72</v>
      </c>
      <c r="AD117" s="40">
        <f t="shared" si="68"/>
        <v>0.23319999999999891</v>
      </c>
    </row>
    <row r="118" spans="1:30" x14ac:dyDescent="0.3">
      <c r="A118" s="32">
        <f t="shared" si="69"/>
        <v>49500</v>
      </c>
      <c r="B118" s="33">
        <f t="shared" si="37"/>
        <v>0</v>
      </c>
      <c r="C118" s="33">
        <f t="shared" si="38"/>
        <v>49500</v>
      </c>
      <c r="D118" s="34">
        <f t="shared" si="39"/>
        <v>0</v>
      </c>
      <c r="E118" s="32">
        <f t="shared" si="40"/>
        <v>36000</v>
      </c>
      <c r="F118" s="33">
        <f t="shared" si="61"/>
        <v>67500</v>
      </c>
      <c r="G118" s="33">
        <f t="shared" si="41"/>
        <v>4500</v>
      </c>
      <c r="H118" s="33">
        <f t="shared" si="42"/>
        <v>26100</v>
      </c>
      <c r="I118" s="33">
        <f t="shared" si="66"/>
        <v>30600</v>
      </c>
      <c r="J118" s="42">
        <f t="shared" si="67"/>
        <v>0</v>
      </c>
      <c r="K118" s="33">
        <f t="shared" si="64"/>
        <v>80100</v>
      </c>
      <c r="L118" s="33">
        <f t="shared" si="44"/>
        <v>23844</v>
      </c>
      <c r="M118" s="32">
        <f t="shared" si="62"/>
        <v>56256</v>
      </c>
      <c r="N118" s="33">
        <f t="shared" si="45"/>
        <v>0</v>
      </c>
      <c r="O118" s="34">
        <f t="shared" si="65"/>
        <v>56256</v>
      </c>
      <c r="P118" s="32">
        <f t="shared" si="46"/>
        <v>0</v>
      </c>
      <c r="Q118" s="33">
        <f t="shared" si="47"/>
        <v>0</v>
      </c>
      <c r="R118" s="33">
        <f t="shared" si="48"/>
        <v>5856</v>
      </c>
      <c r="S118" s="33">
        <f t="shared" si="49"/>
        <v>38000</v>
      </c>
      <c r="T118" s="33">
        <f t="shared" si="50"/>
        <v>12400</v>
      </c>
      <c r="U118" s="4">
        <f t="shared" si="51"/>
        <v>0</v>
      </c>
      <c r="V118" s="38">
        <f t="shared" si="52"/>
        <v>0</v>
      </c>
      <c r="W118" s="39">
        <f t="shared" si="53"/>
        <v>0</v>
      </c>
      <c r="X118" s="4">
        <f t="shared" si="54"/>
        <v>0</v>
      </c>
      <c r="Y118" s="4">
        <f t="shared" si="55"/>
        <v>1288.32</v>
      </c>
      <c r="Z118" s="4">
        <f t="shared" si="56"/>
        <v>4560</v>
      </c>
      <c r="AA118" s="4">
        <f t="shared" si="57"/>
        <v>1240</v>
      </c>
      <c r="AB118" s="4">
        <f t="shared" si="58"/>
        <v>0</v>
      </c>
      <c r="AC118" s="38">
        <f t="shared" si="63"/>
        <v>7088.32</v>
      </c>
      <c r="AD118" s="40">
        <f t="shared" si="68"/>
        <v>0.23320000000000074</v>
      </c>
    </row>
    <row r="119" spans="1:30" x14ac:dyDescent="0.3">
      <c r="A119" s="32">
        <f t="shared" si="69"/>
        <v>50000</v>
      </c>
      <c r="B119" s="33">
        <f t="shared" si="37"/>
        <v>0</v>
      </c>
      <c r="C119" s="33">
        <f t="shared" si="38"/>
        <v>50000</v>
      </c>
      <c r="D119" s="34">
        <f t="shared" si="39"/>
        <v>0</v>
      </c>
      <c r="E119" s="32">
        <f t="shared" si="40"/>
        <v>36000</v>
      </c>
      <c r="F119" s="33">
        <f t="shared" si="61"/>
        <v>68000</v>
      </c>
      <c r="G119" s="33">
        <f t="shared" si="41"/>
        <v>4500</v>
      </c>
      <c r="H119" s="33">
        <f t="shared" si="42"/>
        <v>26100</v>
      </c>
      <c r="I119" s="33">
        <f t="shared" si="66"/>
        <v>30600</v>
      </c>
      <c r="J119" s="42">
        <f t="shared" si="67"/>
        <v>0</v>
      </c>
      <c r="K119" s="33">
        <f t="shared" si="64"/>
        <v>80600</v>
      </c>
      <c r="L119" s="33">
        <f t="shared" si="44"/>
        <v>23814</v>
      </c>
      <c r="M119" s="32">
        <f t="shared" si="62"/>
        <v>56786</v>
      </c>
      <c r="N119" s="33">
        <f t="shared" si="45"/>
        <v>0</v>
      </c>
      <c r="O119" s="34">
        <f t="shared" si="65"/>
        <v>56786</v>
      </c>
      <c r="P119" s="32">
        <f t="shared" si="46"/>
        <v>0</v>
      </c>
      <c r="Q119" s="33">
        <f t="shared" si="47"/>
        <v>0</v>
      </c>
      <c r="R119" s="33">
        <f t="shared" si="48"/>
        <v>6386</v>
      </c>
      <c r="S119" s="33">
        <f t="shared" si="49"/>
        <v>38000</v>
      </c>
      <c r="T119" s="33">
        <f t="shared" si="50"/>
        <v>12400</v>
      </c>
      <c r="U119" s="4">
        <f t="shared" si="51"/>
        <v>0</v>
      </c>
      <c r="V119" s="38">
        <f t="shared" si="52"/>
        <v>0</v>
      </c>
      <c r="W119" s="39">
        <f t="shared" si="53"/>
        <v>0</v>
      </c>
      <c r="X119" s="4">
        <f t="shared" si="54"/>
        <v>0</v>
      </c>
      <c r="Y119" s="4">
        <f t="shared" si="55"/>
        <v>1404.92</v>
      </c>
      <c r="Z119" s="4">
        <f t="shared" si="56"/>
        <v>4560</v>
      </c>
      <c r="AA119" s="4">
        <f t="shared" si="57"/>
        <v>1240</v>
      </c>
      <c r="AB119" s="4">
        <f t="shared" si="58"/>
        <v>0</v>
      </c>
      <c r="AC119" s="38">
        <f t="shared" si="63"/>
        <v>7204.92</v>
      </c>
      <c r="AD119" s="40">
        <f t="shared" si="68"/>
        <v>0.23320000000000074</v>
      </c>
    </row>
    <row r="120" spans="1:30" x14ac:dyDescent="0.3">
      <c r="A120" s="32">
        <f t="shared" si="69"/>
        <v>50500</v>
      </c>
      <c r="B120" s="33">
        <f t="shared" si="37"/>
        <v>0</v>
      </c>
      <c r="C120" s="33">
        <f t="shared" si="38"/>
        <v>50500</v>
      </c>
      <c r="D120" s="34">
        <f t="shared" si="39"/>
        <v>0</v>
      </c>
      <c r="E120" s="32">
        <f t="shared" si="40"/>
        <v>36000</v>
      </c>
      <c r="F120" s="33">
        <f t="shared" si="61"/>
        <v>68500</v>
      </c>
      <c r="G120" s="33">
        <f t="shared" si="41"/>
        <v>4500</v>
      </c>
      <c r="H120" s="33">
        <f t="shared" si="42"/>
        <v>26100</v>
      </c>
      <c r="I120" s="33">
        <f t="shared" si="66"/>
        <v>30600</v>
      </c>
      <c r="J120" s="42">
        <f t="shared" si="67"/>
        <v>0</v>
      </c>
      <c r="K120" s="33">
        <f t="shared" si="64"/>
        <v>81100</v>
      </c>
      <c r="L120" s="33">
        <f t="shared" si="44"/>
        <v>23784</v>
      </c>
      <c r="M120" s="32">
        <f t="shared" si="62"/>
        <v>57316</v>
      </c>
      <c r="N120" s="33">
        <f t="shared" si="45"/>
        <v>0</v>
      </c>
      <c r="O120" s="34">
        <f t="shared" si="65"/>
        <v>57316</v>
      </c>
      <c r="P120" s="32">
        <f t="shared" si="46"/>
        <v>0</v>
      </c>
      <c r="Q120" s="33">
        <f t="shared" si="47"/>
        <v>0</v>
      </c>
      <c r="R120" s="33">
        <f t="shared" si="48"/>
        <v>6916</v>
      </c>
      <c r="S120" s="33">
        <f t="shared" si="49"/>
        <v>38000</v>
      </c>
      <c r="T120" s="33">
        <f t="shared" si="50"/>
        <v>12400</v>
      </c>
      <c r="U120" s="4">
        <f t="shared" si="51"/>
        <v>0</v>
      </c>
      <c r="V120" s="38">
        <f t="shared" si="52"/>
        <v>0</v>
      </c>
      <c r="W120" s="39">
        <f t="shared" si="53"/>
        <v>0</v>
      </c>
      <c r="X120" s="4">
        <f t="shared" si="54"/>
        <v>0</v>
      </c>
      <c r="Y120" s="4">
        <f t="shared" si="55"/>
        <v>1521.52</v>
      </c>
      <c r="Z120" s="4">
        <f t="shared" si="56"/>
        <v>4560</v>
      </c>
      <c r="AA120" s="4">
        <f t="shared" si="57"/>
        <v>1240</v>
      </c>
      <c r="AB120" s="4">
        <f t="shared" si="58"/>
        <v>0</v>
      </c>
      <c r="AC120" s="38">
        <f t="shared" si="63"/>
        <v>7321.52</v>
      </c>
      <c r="AD120" s="40">
        <f t="shared" si="68"/>
        <v>0.23319999999999891</v>
      </c>
    </row>
    <row r="121" spans="1:30" x14ac:dyDescent="0.3">
      <c r="A121" s="32">
        <f t="shared" si="69"/>
        <v>51000</v>
      </c>
      <c r="B121" s="33">
        <f t="shared" si="37"/>
        <v>0</v>
      </c>
      <c r="C121" s="33">
        <f t="shared" si="38"/>
        <v>51000</v>
      </c>
      <c r="D121" s="34">
        <f t="shared" si="39"/>
        <v>0</v>
      </c>
      <c r="E121" s="32">
        <f t="shared" si="40"/>
        <v>36000</v>
      </c>
      <c r="F121" s="33">
        <f t="shared" si="61"/>
        <v>69000</v>
      </c>
      <c r="G121" s="33">
        <f t="shared" si="41"/>
        <v>4500</v>
      </c>
      <c r="H121" s="33">
        <f t="shared" si="42"/>
        <v>26100</v>
      </c>
      <c r="I121" s="33">
        <f t="shared" si="66"/>
        <v>30600</v>
      </c>
      <c r="J121" s="42">
        <f t="shared" si="67"/>
        <v>0</v>
      </c>
      <c r="K121" s="33">
        <f t="shared" si="64"/>
        <v>81600</v>
      </c>
      <c r="L121" s="33">
        <f t="shared" si="44"/>
        <v>23754</v>
      </c>
      <c r="M121" s="32">
        <f t="shared" si="62"/>
        <v>57846</v>
      </c>
      <c r="N121" s="33">
        <f t="shared" si="45"/>
        <v>0</v>
      </c>
      <c r="O121" s="34">
        <f t="shared" si="65"/>
        <v>57846</v>
      </c>
      <c r="P121" s="32">
        <f t="shared" si="46"/>
        <v>0</v>
      </c>
      <c r="Q121" s="33">
        <f t="shared" si="47"/>
        <v>0</v>
      </c>
      <c r="R121" s="33">
        <f t="shared" si="48"/>
        <v>7446</v>
      </c>
      <c r="S121" s="33">
        <f t="shared" si="49"/>
        <v>38000</v>
      </c>
      <c r="T121" s="33">
        <f t="shared" si="50"/>
        <v>12400</v>
      </c>
      <c r="U121" s="4">
        <f t="shared" si="51"/>
        <v>0</v>
      </c>
      <c r="V121" s="38">
        <f t="shared" si="52"/>
        <v>0</v>
      </c>
      <c r="W121" s="39">
        <f t="shared" si="53"/>
        <v>0</v>
      </c>
      <c r="X121" s="4">
        <f t="shared" si="54"/>
        <v>0</v>
      </c>
      <c r="Y121" s="4">
        <f t="shared" si="55"/>
        <v>1638.1200000000001</v>
      </c>
      <c r="Z121" s="4">
        <f t="shared" si="56"/>
        <v>4560</v>
      </c>
      <c r="AA121" s="4">
        <f t="shared" si="57"/>
        <v>1240</v>
      </c>
      <c r="AB121" s="4">
        <f t="shared" si="58"/>
        <v>0</v>
      </c>
      <c r="AC121" s="38">
        <f t="shared" si="63"/>
        <v>7438.12</v>
      </c>
      <c r="AD121" s="40">
        <f t="shared" si="68"/>
        <v>0.23320000000000074</v>
      </c>
    </row>
    <row r="122" spans="1:30" x14ac:dyDescent="0.3">
      <c r="A122" s="32">
        <f t="shared" si="69"/>
        <v>51500</v>
      </c>
      <c r="B122" s="33">
        <f t="shared" si="37"/>
        <v>0</v>
      </c>
      <c r="C122" s="33">
        <f t="shared" si="38"/>
        <v>51500</v>
      </c>
      <c r="D122" s="34">
        <f t="shared" si="39"/>
        <v>0</v>
      </c>
      <c r="E122" s="32">
        <f t="shared" si="40"/>
        <v>36000</v>
      </c>
      <c r="F122" s="33">
        <f t="shared" si="61"/>
        <v>69500</v>
      </c>
      <c r="G122" s="33">
        <f t="shared" si="41"/>
        <v>4500</v>
      </c>
      <c r="H122" s="33">
        <f t="shared" si="42"/>
        <v>26100</v>
      </c>
      <c r="I122" s="33">
        <f t="shared" si="66"/>
        <v>30600</v>
      </c>
      <c r="J122" s="42">
        <f t="shared" si="67"/>
        <v>0</v>
      </c>
      <c r="K122" s="33">
        <f t="shared" si="64"/>
        <v>82100</v>
      </c>
      <c r="L122" s="33">
        <f t="shared" si="44"/>
        <v>23724</v>
      </c>
      <c r="M122" s="32">
        <f t="shared" si="62"/>
        <v>58376</v>
      </c>
      <c r="N122" s="33">
        <f t="shared" si="45"/>
        <v>0</v>
      </c>
      <c r="O122" s="34">
        <f t="shared" si="65"/>
        <v>58376</v>
      </c>
      <c r="P122" s="32">
        <f t="shared" si="46"/>
        <v>0</v>
      </c>
      <c r="Q122" s="33">
        <f t="shared" si="47"/>
        <v>0</v>
      </c>
      <c r="R122" s="33">
        <f t="shared" si="48"/>
        <v>7976</v>
      </c>
      <c r="S122" s="33">
        <f t="shared" si="49"/>
        <v>38000</v>
      </c>
      <c r="T122" s="33">
        <f t="shared" si="50"/>
        <v>12400</v>
      </c>
      <c r="U122" s="4">
        <f t="shared" si="51"/>
        <v>0</v>
      </c>
      <c r="V122" s="38">
        <f t="shared" si="52"/>
        <v>0</v>
      </c>
      <c r="W122" s="39">
        <f t="shared" si="53"/>
        <v>0</v>
      </c>
      <c r="X122" s="4">
        <f t="shared" si="54"/>
        <v>0</v>
      </c>
      <c r="Y122" s="4">
        <f t="shared" si="55"/>
        <v>1754.72</v>
      </c>
      <c r="Z122" s="4">
        <f t="shared" si="56"/>
        <v>4560</v>
      </c>
      <c r="AA122" s="4">
        <f t="shared" si="57"/>
        <v>1240</v>
      </c>
      <c r="AB122" s="4">
        <f t="shared" si="58"/>
        <v>0</v>
      </c>
      <c r="AC122" s="38">
        <f t="shared" si="63"/>
        <v>7554.72</v>
      </c>
      <c r="AD122" s="40">
        <f t="shared" si="68"/>
        <v>0.23319999999999891</v>
      </c>
    </row>
    <row r="123" spans="1:30" x14ac:dyDescent="0.3">
      <c r="A123" s="32">
        <f t="shared" si="69"/>
        <v>52000</v>
      </c>
      <c r="B123" s="33">
        <f t="shared" si="37"/>
        <v>0</v>
      </c>
      <c r="C123" s="33">
        <f t="shared" si="38"/>
        <v>52000</v>
      </c>
      <c r="D123" s="34">
        <f t="shared" si="39"/>
        <v>0</v>
      </c>
      <c r="E123" s="32">
        <f t="shared" si="40"/>
        <v>36000</v>
      </c>
      <c r="F123" s="33">
        <f t="shared" si="61"/>
        <v>70000</v>
      </c>
      <c r="G123" s="33">
        <f t="shared" si="41"/>
        <v>4500</v>
      </c>
      <c r="H123" s="33">
        <f t="shared" si="42"/>
        <v>26100</v>
      </c>
      <c r="I123" s="33">
        <f t="shared" si="66"/>
        <v>30600</v>
      </c>
      <c r="J123" s="42">
        <f t="shared" si="67"/>
        <v>0</v>
      </c>
      <c r="K123" s="33">
        <f t="shared" si="64"/>
        <v>82600</v>
      </c>
      <c r="L123" s="33">
        <f t="shared" si="44"/>
        <v>23694</v>
      </c>
      <c r="M123" s="32">
        <f t="shared" si="62"/>
        <v>58906</v>
      </c>
      <c r="N123" s="33">
        <f t="shared" si="45"/>
        <v>0</v>
      </c>
      <c r="O123" s="34">
        <f t="shared" si="65"/>
        <v>58906</v>
      </c>
      <c r="P123" s="32">
        <f t="shared" si="46"/>
        <v>0</v>
      </c>
      <c r="Q123" s="33">
        <f t="shared" si="47"/>
        <v>0</v>
      </c>
      <c r="R123" s="33">
        <f t="shared" si="48"/>
        <v>8506</v>
      </c>
      <c r="S123" s="33">
        <f t="shared" si="49"/>
        <v>38000</v>
      </c>
      <c r="T123" s="33">
        <f t="shared" si="50"/>
        <v>12400</v>
      </c>
      <c r="U123" s="4">
        <f t="shared" si="51"/>
        <v>0</v>
      </c>
      <c r="V123" s="38">
        <f t="shared" si="52"/>
        <v>0</v>
      </c>
      <c r="W123" s="39">
        <f t="shared" si="53"/>
        <v>0</v>
      </c>
      <c r="X123" s="4">
        <f t="shared" si="54"/>
        <v>0</v>
      </c>
      <c r="Y123" s="4">
        <f t="shared" si="55"/>
        <v>1871.32</v>
      </c>
      <c r="Z123" s="4">
        <f t="shared" si="56"/>
        <v>4560</v>
      </c>
      <c r="AA123" s="4">
        <f t="shared" si="57"/>
        <v>1240</v>
      </c>
      <c r="AB123" s="4">
        <f t="shared" si="58"/>
        <v>0</v>
      </c>
      <c r="AC123" s="38">
        <f t="shared" si="63"/>
        <v>7671.32</v>
      </c>
      <c r="AD123" s="40">
        <f t="shared" si="68"/>
        <v>0.23320000000000074</v>
      </c>
    </row>
    <row r="124" spans="1:30" x14ac:dyDescent="0.3">
      <c r="A124" s="32">
        <f t="shared" si="69"/>
        <v>52500</v>
      </c>
      <c r="B124" s="33">
        <f t="shared" si="37"/>
        <v>0</v>
      </c>
      <c r="C124" s="33">
        <f t="shared" si="38"/>
        <v>52500</v>
      </c>
      <c r="D124" s="34">
        <f t="shared" si="39"/>
        <v>0</v>
      </c>
      <c r="E124" s="32">
        <f t="shared" si="40"/>
        <v>36000</v>
      </c>
      <c r="F124" s="33">
        <f t="shared" si="61"/>
        <v>70500</v>
      </c>
      <c r="G124" s="33">
        <f t="shared" si="41"/>
        <v>4500</v>
      </c>
      <c r="H124" s="33">
        <f t="shared" si="42"/>
        <v>26100</v>
      </c>
      <c r="I124" s="33">
        <f t="shared" si="66"/>
        <v>30600</v>
      </c>
      <c r="J124" s="42">
        <f t="shared" si="67"/>
        <v>0</v>
      </c>
      <c r="K124" s="33">
        <f t="shared" si="64"/>
        <v>83100</v>
      </c>
      <c r="L124" s="33">
        <f t="shared" si="44"/>
        <v>23664</v>
      </c>
      <c r="M124" s="32">
        <f t="shared" si="62"/>
        <v>59436</v>
      </c>
      <c r="N124" s="33">
        <f t="shared" si="45"/>
        <v>0</v>
      </c>
      <c r="O124" s="34">
        <f t="shared" si="65"/>
        <v>59436</v>
      </c>
      <c r="P124" s="32">
        <f t="shared" si="46"/>
        <v>0</v>
      </c>
      <c r="Q124" s="33">
        <f t="shared" si="47"/>
        <v>0</v>
      </c>
      <c r="R124" s="33">
        <f t="shared" si="48"/>
        <v>9036</v>
      </c>
      <c r="S124" s="33">
        <f t="shared" si="49"/>
        <v>38000</v>
      </c>
      <c r="T124" s="33">
        <f t="shared" si="50"/>
        <v>12400</v>
      </c>
      <c r="U124" s="4">
        <f t="shared" si="51"/>
        <v>0</v>
      </c>
      <c r="V124" s="38">
        <f t="shared" si="52"/>
        <v>0</v>
      </c>
      <c r="W124" s="39">
        <f t="shared" si="53"/>
        <v>0</v>
      </c>
      <c r="X124" s="4">
        <f t="shared" si="54"/>
        <v>0</v>
      </c>
      <c r="Y124" s="4">
        <f t="shared" si="55"/>
        <v>1987.92</v>
      </c>
      <c r="Z124" s="4">
        <f t="shared" si="56"/>
        <v>4560</v>
      </c>
      <c r="AA124" s="4">
        <f t="shared" si="57"/>
        <v>1240</v>
      </c>
      <c r="AB124" s="4">
        <f t="shared" si="58"/>
        <v>0</v>
      </c>
      <c r="AC124" s="38">
        <f t="shared" si="63"/>
        <v>7787.92</v>
      </c>
      <c r="AD124" s="40">
        <f t="shared" si="68"/>
        <v>0.23320000000000074</v>
      </c>
    </row>
    <row r="125" spans="1:30" x14ac:dyDescent="0.3">
      <c r="A125" s="32">
        <f t="shared" si="69"/>
        <v>53000</v>
      </c>
      <c r="B125" s="33">
        <f t="shared" si="37"/>
        <v>0</v>
      </c>
      <c r="C125" s="33">
        <f t="shared" si="38"/>
        <v>53000</v>
      </c>
      <c r="D125" s="34">
        <f t="shared" si="39"/>
        <v>0</v>
      </c>
      <c r="E125" s="32">
        <f t="shared" si="40"/>
        <v>36000</v>
      </c>
      <c r="F125" s="33">
        <f t="shared" si="61"/>
        <v>71000</v>
      </c>
      <c r="G125" s="33">
        <f t="shared" si="41"/>
        <v>4500</v>
      </c>
      <c r="H125" s="33">
        <f t="shared" si="42"/>
        <v>26100</v>
      </c>
      <c r="I125" s="33">
        <f t="shared" si="66"/>
        <v>30600</v>
      </c>
      <c r="J125" s="42">
        <f t="shared" si="67"/>
        <v>0</v>
      </c>
      <c r="K125" s="33">
        <f t="shared" si="64"/>
        <v>83600</v>
      </c>
      <c r="L125" s="33">
        <f t="shared" si="44"/>
        <v>23634</v>
      </c>
      <c r="M125" s="32">
        <f t="shared" si="62"/>
        <v>59966</v>
      </c>
      <c r="N125" s="33">
        <f t="shared" si="45"/>
        <v>0</v>
      </c>
      <c r="O125" s="34">
        <f t="shared" si="65"/>
        <v>59966</v>
      </c>
      <c r="P125" s="32">
        <f t="shared" si="46"/>
        <v>0</v>
      </c>
      <c r="Q125" s="33">
        <f t="shared" si="47"/>
        <v>0</v>
      </c>
      <c r="R125" s="33">
        <f t="shared" si="48"/>
        <v>9566</v>
      </c>
      <c r="S125" s="33">
        <f t="shared" si="49"/>
        <v>38000</v>
      </c>
      <c r="T125" s="33">
        <f t="shared" si="50"/>
        <v>12400</v>
      </c>
      <c r="U125" s="4">
        <f t="shared" si="51"/>
        <v>0</v>
      </c>
      <c r="V125" s="38">
        <f t="shared" si="52"/>
        <v>0</v>
      </c>
      <c r="W125" s="39">
        <f t="shared" si="53"/>
        <v>0</v>
      </c>
      <c r="X125" s="4">
        <f t="shared" si="54"/>
        <v>0</v>
      </c>
      <c r="Y125" s="4">
        <f t="shared" si="55"/>
        <v>2104.52</v>
      </c>
      <c r="Z125" s="4">
        <f t="shared" si="56"/>
        <v>4560</v>
      </c>
      <c r="AA125" s="4">
        <f t="shared" si="57"/>
        <v>1240</v>
      </c>
      <c r="AB125" s="4">
        <f t="shared" si="58"/>
        <v>0</v>
      </c>
      <c r="AC125" s="38">
        <f t="shared" si="63"/>
        <v>7904.52</v>
      </c>
      <c r="AD125" s="40">
        <f t="shared" si="68"/>
        <v>0.23319999999999891</v>
      </c>
    </row>
    <row r="126" spans="1:30" x14ac:dyDescent="0.3">
      <c r="A126" s="32">
        <f t="shared" si="69"/>
        <v>53500</v>
      </c>
      <c r="B126" s="33">
        <f t="shared" si="37"/>
        <v>0</v>
      </c>
      <c r="C126" s="33">
        <f t="shared" si="38"/>
        <v>53500</v>
      </c>
      <c r="D126" s="34">
        <f t="shared" si="39"/>
        <v>0</v>
      </c>
      <c r="E126" s="32">
        <f t="shared" si="40"/>
        <v>36000</v>
      </c>
      <c r="F126" s="33">
        <f t="shared" si="61"/>
        <v>71500</v>
      </c>
      <c r="G126" s="33">
        <f t="shared" si="41"/>
        <v>4500</v>
      </c>
      <c r="H126" s="33">
        <f t="shared" si="42"/>
        <v>26100</v>
      </c>
      <c r="I126" s="33">
        <f t="shared" si="66"/>
        <v>30600</v>
      </c>
      <c r="J126" s="42">
        <f t="shared" si="67"/>
        <v>0</v>
      </c>
      <c r="K126" s="33">
        <f t="shared" si="64"/>
        <v>84100</v>
      </c>
      <c r="L126" s="33">
        <f t="shared" si="44"/>
        <v>23604</v>
      </c>
      <c r="M126" s="32">
        <f t="shared" si="62"/>
        <v>60496</v>
      </c>
      <c r="N126" s="33">
        <f t="shared" si="45"/>
        <v>0</v>
      </c>
      <c r="O126" s="34">
        <f t="shared" si="65"/>
        <v>60496</v>
      </c>
      <c r="P126" s="32">
        <f t="shared" si="46"/>
        <v>0</v>
      </c>
      <c r="Q126" s="33">
        <f t="shared" si="47"/>
        <v>0</v>
      </c>
      <c r="R126" s="33">
        <f t="shared" si="48"/>
        <v>10096</v>
      </c>
      <c r="S126" s="33">
        <f t="shared" si="49"/>
        <v>38000</v>
      </c>
      <c r="T126" s="33">
        <f t="shared" si="50"/>
        <v>12400</v>
      </c>
      <c r="U126" s="4">
        <f t="shared" si="51"/>
        <v>0</v>
      </c>
      <c r="V126" s="38">
        <f t="shared" si="52"/>
        <v>0</v>
      </c>
      <c r="W126" s="39">
        <f t="shared" si="53"/>
        <v>0</v>
      </c>
      <c r="X126" s="4">
        <f t="shared" si="54"/>
        <v>0</v>
      </c>
      <c r="Y126" s="4">
        <f t="shared" si="55"/>
        <v>2221.12</v>
      </c>
      <c r="Z126" s="4">
        <f t="shared" si="56"/>
        <v>4560</v>
      </c>
      <c r="AA126" s="4">
        <f t="shared" si="57"/>
        <v>1240</v>
      </c>
      <c r="AB126" s="4">
        <f t="shared" si="58"/>
        <v>0</v>
      </c>
      <c r="AC126" s="38">
        <f t="shared" si="63"/>
        <v>8021.12</v>
      </c>
      <c r="AD126" s="40">
        <f t="shared" si="68"/>
        <v>0.23319999999999891</v>
      </c>
    </row>
    <row r="127" spans="1:30" x14ac:dyDescent="0.3">
      <c r="A127" s="32">
        <f t="shared" si="69"/>
        <v>54000</v>
      </c>
      <c r="B127" s="33">
        <f t="shared" si="37"/>
        <v>0</v>
      </c>
      <c r="C127" s="33">
        <f t="shared" si="38"/>
        <v>54000</v>
      </c>
      <c r="D127" s="34">
        <f t="shared" si="39"/>
        <v>0</v>
      </c>
      <c r="E127" s="32">
        <f t="shared" si="40"/>
        <v>36000</v>
      </c>
      <c r="F127" s="33">
        <f t="shared" si="61"/>
        <v>72000</v>
      </c>
      <c r="G127" s="33">
        <f t="shared" si="41"/>
        <v>4500</v>
      </c>
      <c r="H127" s="33">
        <f t="shared" si="42"/>
        <v>26100</v>
      </c>
      <c r="I127" s="33">
        <f t="shared" si="66"/>
        <v>30600</v>
      </c>
      <c r="J127" s="42">
        <f t="shared" si="67"/>
        <v>0</v>
      </c>
      <c r="K127" s="33">
        <f t="shared" si="64"/>
        <v>84600</v>
      </c>
      <c r="L127" s="33">
        <f t="shared" si="44"/>
        <v>23574</v>
      </c>
      <c r="M127" s="32">
        <f t="shared" si="62"/>
        <v>61026</v>
      </c>
      <c r="N127" s="33">
        <f t="shared" si="45"/>
        <v>0</v>
      </c>
      <c r="O127" s="34">
        <f t="shared" si="65"/>
        <v>61026</v>
      </c>
      <c r="P127" s="32">
        <f t="shared" si="46"/>
        <v>0</v>
      </c>
      <c r="Q127" s="33">
        <f t="shared" si="47"/>
        <v>0</v>
      </c>
      <c r="R127" s="33">
        <f t="shared" si="48"/>
        <v>10626</v>
      </c>
      <c r="S127" s="33">
        <f t="shared" si="49"/>
        <v>38000</v>
      </c>
      <c r="T127" s="33">
        <f t="shared" si="50"/>
        <v>12400</v>
      </c>
      <c r="U127" s="4">
        <f t="shared" si="51"/>
        <v>0</v>
      </c>
      <c r="V127" s="38">
        <f t="shared" si="52"/>
        <v>0</v>
      </c>
      <c r="W127" s="39">
        <f t="shared" si="53"/>
        <v>0</v>
      </c>
      <c r="X127" s="4">
        <f t="shared" si="54"/>
        <v>0</v>
      </c>
      <c r="Y127" s="4">
        <f t="shared" si="55"/>
        <v>2337.7199999999998</v>
      </c>
      <c r="Z127" s="4">
        <f t="shared" si="56"/>
        <v>4560</v>
      </c>
      <c r="AA127" s="4">
        <f t="shared" si="57"/>
        <v>1240</v>
      </c>
      <c r="AB127" s="4">
        <f t="shared" si="58"/>
        <v>0</v>
      </c>
      <c r="AC127" s="38">
        <f t="shared" si="63"/>
        <v>8137.7199999999993</v>
      </c>
      <c r="AD127" s="40">
        <f t="shared" si="68"/>
        <v>0.23320000000000074</v>
      </c>
    </row>
    <row r="128" spans="1:30" x14ac:dyDescent="0.3">
      <c r="A128" s="32">
        <f t="shared" si="69"/>
        <v>54500</v>
      </c>
      <c r="B128" s="33">
        <f t="shared" si="37"/>
        <v>0</v>
      </c>
      <c r="C128" s="33">
        <f t="shared" si="38"/>
        <v>54500</v>
      </c>
      <c r="D128" s="34">
        <f t="shared" si="39"/>
        <v>0</v>
      </c>
      <c r="E128" s="32">
        <f t="shared" si="40"/>
        <v>36000</v>
      </c>
      <c r="F128" s="33">
        <f t="shared" si="61"/>
        <v>72500</v>
      </c>
      <c r="G128" s="33">
        <f t="shared" si="41"/>
        <v>4500</v>
      </c>
      <c r="H128" s="33">
        <f t="shared" si="42"/>
        <v>26100</v>
      </c>
      <c r="I128" s="33">
        <f t="shared" si="66"/>
        <v>30600</v>
      </c>
      <c r="J128" s="42">
        <f t="shared" si="67"/>
        <v>0</v>
      </c>
      <c r="K128" s="33">
        <f t="shared" si="64"/>
        <v>85100</v>
      </c>
      <c r="L128" s="33">
        <f t="shared" si="44"/>
        <v>23544</v>
      </c>
      <c r="M128" s="32">
        <f t="shared" si="62"/>
        <v>61556</v>
      </c>
      <c r="N128" s="33">
        <f t="shared" si="45"/>
        <v>0</v>
      </c>
      <c r="O128" s="34">
        <f t="shared" si="65"/>
        <v>61556</v>
      </c>
      <c r="P128" s="32">
        <f t="shared" si="46"/>
        <v>0</v>
      </c>
      <c r="Q128" s="33">
        <f t="shared" si="47"/>
        <v>0</v>
      </c>
      <c r="R128" s="33">
        <f t="shared" si="48"/>
        <v>11156</v>
      </c>
      <c r="S128" s="33">
        <f t="shared" si="49"/>
        <v>38000</v>
      </c>
      <c r="T128" s="33">
        <f t="shared" si="50"/>
        <v>12400</v>
      </c>
      <c r="U128" s="4">
        <f t="shared" si="51"/>
        <v>0</v>
      </c>
      <c r="V128" s="38">
        <f t="shared" si="52"/>
        <v>0</v>
      </c>
      <c r="W128" s="39">
        <f t="shared" si="53"/>
        <v>0</v>
      </c>
      <c r="X128" s="4">
        <f t="shared" si="54"/>
        <v>0</v>
      </c>
      <c r="Y128" s="4">
        <f t="shared" si="55"/>
        <v>2454.3200000000002</v>
      </c>
      <c r="Z128" s="4">
        <f t="shared" si="56"/>
        <v>4560</v>
      </c>
      <c r="AA128" s="4">
        <f t="shared" si="57"/>
        <v>1240</v>
      </c>
      <c r="AB128" s="4">
        <f t="shared" si="58"/>
        <v>0</v>
      </c>
      <c r="AC128" s="38">
        <f t="shared" si="63"/>
        <v>8254.32</v>
      </c>
      <c r="AD128" s="40">
        <f t="shared" si="68"/>
        <v>0.23320000000000074</v>
      </c>
    </row>
    <row r="129" spans="1:30" x14ac:dyDescent="0.3">
      <c r="A129" s="32">
        <f t="shared" si="69"/>
        <v>55000</v>
      </c>
      <c r="B129" s="33">
        <f t="shared" si="37"/>
        <v>0</v>
      </c>
      <c r="C129" s="33">
        <f t="shared" si="38"/>
        <v>55000</v>
      </c>
      <c r="D129" s="34">
        <f t="shared" si="39"/>
        <v>0</v>
      </c>
      <c r="E129" s="32">
        <f t="shared" si="40"/>
        <v>36000</v>
      </c>
      <c r="F129" s="33">
        <f t="shared" si="61"/>
        <v>73000</v>
      </c>
      <c r="G129" s="33">
        <f t="shared" si="41"/>
        <v>4500</v>
      </c>
      <c r="H129" s="33">
        <f t="shared" si="42"/>
        <v>26100</v>
      </c>
      <c r="I129" s="33">
        <f t="shared" si="66"/>
        <v>30600</v>
      </c>
      <c r="J129" s="42">
        <f t="shared" si="67"/>
        <v>0</v>
      </c>
      <c r="K129" s="33">
        <f t="shared" si="64"/>
        <v>85600</v>
      </c>
      <c r="L129" s="33">
        <f t="shared" si="44"/>
        <v>23514</v>
      </c>
      <c r="M129" s="32">
        <f t="shared" si="62"/>
        <v>62086</v>
      </c>
      <c r="N129" s="33">
        <f t="shared" si="45"/>
        <v>0</v>
      </c>
      <c r="O129" s="34">
        <f t="shared" si="65"/>
        <v>62086</v>
      </c>
      <c r="P129" s="32">
        <f t="shared" si="46"/>
        <v>0</v>
      </c>
      <c r="Q129" s="33">
        <f t="shared" si="47"/>
        <v>0</v>
      </c>
      <c r="R129" s="33">
        <f t="shared" si="48"/>
        <v>11686</v>
      </c>
      <c r="S129" s="33">
        <f t="shared" si="49"/>
        <v>38000</v>
      </c>
      <c r="T129" s="33">
        <f t="shared" si="50"/>
        <v>12400</v>
      </c>
      <c r="U129" s="4">
        <f t="shared" si="51"/>
        <v>0</v>
      </c>
      <c r="V129" s="38">
        <f t="shared" si="52"/>
        <v>0</v>
      </c>
      <c r="W129" s="39">
        <f t="shared" si="53"/>
        <v>0</v>
      </c>
      <c r="X129" s="4">
        <f t="shared" si="54"/>
        <v>0</v>
      </c>
      <c r="Y129" s="4">
        <f t="shared" si="55"/>
        <v>2570.92</v>
      </c>
      <c r="Z129" s="4">
        <f t="shared" si="56"/>
        <v>4560</v>
      </c>
      <c r="AA129" s="4">
        <f t="shared" si="57"/>
        <v>1240</v>
      </c>
      <c r="AB129" s="4">
        <f t="shared" si="58"/>
        <v>0</v>
      </c>
      <c r="AC129" s="38">
        <f t="shared" si="63"/>
        <v>8370.92</v>
      </c>
      <c r="AD129" s="40">
        <f t="shared" si="68"/>
        <v>0.23320000000000074</v>
      </c>
    </row>
    <row r="130" spans="1:30" x14ac:dyDescent="0.3">
      <c r="A130" s="32">
        <f t="shared" si="69"/>
        <v>55500</v>
      </c>
      <c r="B130" s="33">
        <f t="shared" si="37"/>
        <v>0</v>
      </c>
      <c r="C130" s="33">
        <f t="shared" si="38"/>
        <v>55500</v>
      </c>
      <c r="D130" s="34">
        <f t="shared" si="39"/>
        <v>0</v>
      </c>
      <c r="E130" s="32">
        <f t="shared" si="40"/>
        <v>36000</v>
      </c>
      <c r="F130" s="33">
        <f t="shared" si="61"/>
        <v>73500</v>
      </c>
      <c r="G130" s="33">
        <f t="shared" si="41"/>
        <v>4500</v>
      </c>
      <c r="H130" s="33">
        <f t="shared" si="42"/>
        <v>26100</v>
      </c>
      <c r="I130" s="33">
        <f t="shared" si="66"/>
        <v>30600</v>
      </c>
      <c r="J130" s="42">
        <f t="shared" si="67"/>
        <v>0</v>
      </c>
      <c r="K130" s="33">
        <f t="shared" si="64"/>
        <v>86100</v>
      </c>
      <c r="L130" s="33">
        <f t="shared" si="44"/>
        <v>23484</v>
      </c>
      <c r="M130" s="32">
        <f t="shared" si="62"/>
        <v>62616</v>
      </c>
      <c r="N130" s="33">
        <f t="shared" si="45"/>
        <v>0</v>
      </c>
      <c r="O130" s="34">
        <f t="shared" si="65"/>
        <v>62616</v>
      </c>
      <c r="P130" s="32">
        <f t="shared" si="46"/>
        <v>0</v>
      </c>
      <c r="Q130" s="33">
        <f t="shared" si="47"/>
        <v>0</v>
      </c>
      <c r="R130" s="33">
        <f t="shared" si="48"/>
        <v>12216</v>
      </c>
      <c r="S130" s="33">
        <f t="shared" si="49"/>
        <v>38000</v>
      </c>
      <c r="T130" s="33">
        <f t="shared" si="50"/>
        <v>12400</v>
      </c>
      <c r="U130" s="4">
        <f t="shared" si="51"/>
        <v>0</v>
      </c>
      <c r="V130" s="38">
        <f t="shared" si="52"/>
        <v>0</v>
      </c>
      <c r="W130" s="39">
        <f t="shared" si="53"/>
        <v>0</v>
      </c>
      <c r="X130" s="4">
        <f t="shared" si="54"/>
        <v>0</v>
      </c>
      <c r="Y130" s="4">
        <f t="shared" si="55"/>
        <v>2687.52</v>
      </c>
      <c r="Z130" s="4">
        <f t="shared" si="56"/>
        <v>4560</v>
      </c>
      <c r="AA130" s="4">
        <f t="shared" si="57"/>
        <v>1240</v>
      </c>
      <c r="AB130" s="4">
        <f t="shared" si="58"/>
        <v>0</v>
      </c>
      <c r="AC130" s="38">
        <f t="shared" si="63"/>
        <v>8487.52</v>
      </c>
      <c r="AD130" s="40">
        <f t="shared" si="68"/>
        <v>0.23319999999999708</v>
      </c>
    </row>
    <row r="131" spans="1:30" x14ac:dyDescent="0.3">
      <c r="A131" s="32">
        <f t="shared" si="69"/>
        <v>56000</v>
      </c>
      <c r="B131" s="33">
        <f t="shared" si="37"/>
        <v>0</v>
      </c>
      <c r="C131" s="33">
        <f t="shared" si="38"/>
        <v>56000</v>
      </c>
      <c r="D131" s="34">
        <f t="shared" si="39"/>
        <v>0</v>
      </c>
      <c r="E131" s="32">
        <f t="shared" si="40"/>
        <v>36000</v>
      </c>
      <c r="F131" s="33">
        <f t="shared" si="61"/>
        <v>74000</v>
      </c>
      <c r="G131" s="33">
        <f t="shared" si="41"/>
        <v>4500</v>
      </c>
      <c r="H131" s="33">
        <f t="shared" si="42"/>
        <v>26100</v>
      </c>
      <c r="I131" s="33">
        <f t="shared" si="66"/>
        <v>30600</v>
      </c>
      <c r="J131" s="42">
        <f t="shared" si="67"/>
        <v>0</v>
      </c>
      <c r="K131" s="33">
        <f t="shared" si="64"/>
        <v>86600</v>
      </c>
      <c r="L131" s="33">
        <f t="shared" si="44"/>
        <v>23454</v>
      </c>
      <c r="M131" s="32">
        <f t="shared" si="62"/>
        <v>63146</v>
      </c>
      <c r="N131" s="33">
        <f t="shared" si="45"/>
        <v>0</v>
      </c>
      <c r="O131" s="34">
        <f t="shared" si="65"/>
        <v>63146</v>
      </c>
      <c r="P131" s="32">
        <f t="shared" si="46"/>
        <v>0</v>
      </c>
      <c r="Q131" s="33">
        <f t="shared" si="47"/>
        <v>0</v>
      </c>
      <c r="R131" s="33">
        <f t="shared" si="48"/>
        <v>12746</v>
      </c>
      <c r="S131" s="33">
        <f t="shared" si="49"/>
        <v>38000</v>
      </c>
      <c r="T131" s="33">
        <f t="shared" si="50"/>
        <v>12400</v>
      </c>
      <c r="U131" s="4">
        <f t="shared" si="51"/>
        <v>0</v>
      </c>
      <c r="V131" s="38">
        <f t="shared" si="52"/>
        <v>0</v>
      </c>
      <c r="W131" s="39">
        <f t="shared" si="53"/>
        <v>0</v>
      </c>
      <c r="X131" s="4">
        <f t="shared" si="54"/>
        <v>0</v>
      </c>
      <c r="Y131" s="4">
        <f t="shared" si="55"/>
        <v>2804.12</v>
      </c>
      <c r="Z131" s="4">
        <f t="shared" si="56"/>
        <v>4560</v>
      </c>
      <c r="AA131" s="4">
        <f t="shared" si="57"/>
        <v>1240</v>
      </c>
      <c r="AB131" s="4">
        <f t="shared" si="58"/>
        <v>0</v>
      </c>
      <c r="AC131" s="38">
        <f t="shared" si="63"/>
        <v>8604.119999999999</v>
      </c>
      <c r="AD131" s="40">
        <f t="shared" si="68"/>
        <v>0.23320000000000074</v>
      </c>
    </row>
    <row r="132" spans="1:30" x14ac:dyDescent="0.3">
      <c r="A132" s="32">
        <f t="shared" si="69"/>
        <v>56500</v>
      </c>
      <c r="B132" s="33">
        <f t="shared" si="37"/>
        <v>0</v>
      </c>
      <c r="C132" s="33">
        <f t="shared" si="38"/>
        <v>56500</v>
      </c>
      <c r="D132" s="34">
        <f t="shared" si="39"/>
        <v>0</v>
      </c>
      <c r="E132" s="32">
        <f t="shared" si="40"/>
        <v>36000</v>
      </c>
      <c r="F132" s="33">
        <f t="shared" si="61"/>
        <v>74500</v>
      </c>
      <c r="G132" s="33">
        <f t="shared" si="41"/>
        <v>4500</v>
      </c>
      <c r="H132" s="33">
        <f t="shared" si="42"/>
        <v>26100</v>
      </c>
      <c r="I132" s="33">
        <f t="shared" si="66"/>
        <v>30600</v>
      </c>
      <c r="J132" s="42">
        <f t="shared" si="67"/>
        <v>0</v>
      </c>
      <c r="K132" s="33">
        <f t="shared" si="64"/>
        <v>87100</v>
      </c>
      <c r="L132" s="33">
        <f t="shared" si="44"/>
        <v>23424</v>
      </c>
      <c r="M132" s="32">
        <f t="shared" si="62"/>
        <v>63676</v>
      </c>
      <c r="N132" s="33">
        <f t="shared" si="45"/>
        <v>0</v>
      </c>
      <c r="O132" s="34">
        <f t="shared" si="65"/>
        <v>63676</v>
      </c>
      <c r="P132" s="32">
        <f t="shared" si="46"/>
        <v>0</v>
      </c>
      <c r="Q132" s="33">
        <f t="shared" si="47"/>
        <v>0</v>
      </c>
      <c r="R132" s="33">
        <f t="shared" si="48"/>
        <v>13276</v>
      </c>
      <c r="S132" s="33">
        <f t="shared" si="49"/>
        <v>38000</v>
      </c>
      <c r="T132" s="33">
        <f t="shared" si="50"/>
        <v>12400</v>
      </c>
      <c r="U132" s="4">
        <f t="shared" si="51"/>
        <v>0</v>
      </c>
      <c r="V132" s="38">
        <f t="shared" si="52"/>
        <v>0</v>
      </c>
      <c r="W132" s="39">
        <f t="shared" si="53"/>
        <v>0</v>
      </c>
      <c r="X132" s="4">
        <f t="shared" si="54"/>
        <v>0</v>
      </c>
      <c r="Y132" s="4">
        <f t="shared" si="55"/>
        <v>2920.72</v>
      </c>
      <c r="Z132" s="4">
        <f t="shared" si="56"/>
        <v>4560</v>
      </c>
      <c r="AA132" s="4">
        <f t="shared" si="57"/>
        <v>1240</v>
      </c>
      <c r="AB132" s="4">
        <f t="shared" si="58"/>
        <v>0</v>
      </c>
      <c r="AC132" s="38">
        <f t="shared" si="63"/>
        <v>8720.7199999999993</v>
      </c>
      <c r="AD132" s="40">
        <f t="shared" si="68"/>
        <v>0.23320000000000074</v>
      </c>
    </row>
    <row r="133" spans="1:30" x14ac:dyDescent="0.3">
      <c r="A133" s="32">
        <f t="shared" si="69"/>
        <v>57000</v>
      </c>
      <c r="B133" s="33">
        <f t="shared" si="37"/>
        <v>0</v>
      </c>
      <c r="C133" s="33">
        <f t="shared" si="38"/>
        <v>57000</v>
      </c>
      <c r="D133" s="34">
        <f t="shared" si="39"/>
        <v>0</v>
      </c>
      <c r="E133" s="32">
        <f t="shared" si="40"/>
        <v>36000</v>
      </c>
      <c r="F133" s="33">
        <f t="shared" si="61"/>
        <v>75000</v>
      </c>
      <c r="G133" s="33">
        <f t="shared" si="41"/>
        <v>4500</v>
      </c>
      <c r="H133" s="33">
        <f t="shared" si="42"/>
        <v>26100</v>
      </c>
      <c r="I133" s="33">
        <f t="shared" si="66"/>
        <v>30600</v>
      </c>
      <c r="J133" s="42">
        <f t="shared" si="67"/>
        <v>0</v>
      </c>
      <c r="K133" s="33">
        <f t="shared" si="64"/>
        <v>87600</v>
      </c>
      <c r="L133" s="33">
        <f t="shared" si="44"/>
        <v>23394</v>
      </c>
      <c r="M133" s="32">
        <f t="shared" si="62"/>
        <v>64206</v>
      </c>
      <c r="N133" s="33">
        <f t="shared" si="45"/>
        <v>0</v>
      </c>
      <c r="O133" s="34">
        <f t="shared" si="65"/>
        <v>64206</v>
      </c>
      <c r="P133" s="32">
        <f t="shared" si="46"/>
        <v>0</v>
      </c>
      <c r="Q133" s="33">
        <f t="shared" si="47"/>
        <v>0</v>
      </c>
      <c r="R133" s="33">
        <f t="shared" si="48"/>
        <v>13806</v>
      </c>
      <c r="S133" s="33">
        <f t="shared" si="49"/>
        <v>38000</v>
      </c>
      <c r="T133" s="33">
        <f t="shared" si="50"/>
        <v>12400</v>
      </c>
      <c r="U133" s="4">
        <f t="shared" si="51"/>
        <v>0</v>
      </c>
      <c r="V133" s="38">
        <f t="shared" si="52"/>
        <v>0</v>
      </c>
      <c r="W133" s="39">
        <f t="shared" si="53"/>
        <v>0</v>
      </c>
      <c r="X133" s="4">
        <f t="shared" si="54"/>
        <v>0</v>
      </c>
      <c r="Y133" s="4">
        <f t="shared" si="55"/>
        <v>3037.32</v>
      </c>
      <c r="Z133" s="4">
        <f t="shared" si="56"/>
        <v>4560</v>
      </c>
      <c r="AA133" s="4">
        <f t="shared" si="57"/>
        <v>1240</v>
      </c>
      <c r="AB133" s="4">
        <f t="shared" si="58"/>
        <v>0</v>
      </c>
      <c r="AC133" s="38">
        <f t="shared" si="63"/>
        <v>8837.32</v>
      </c>
      <c r="AD133" s="40">
        <f t="shared" si="68"/>
        <v>0.23320000000000074</v>
      </c>
    </row>
    <row r="134" spans="1:30" x14ac:dyDescent="0.3">
      <c r="A134" s="32">
        <f t="shared" si="69"/>
        <v>57500</v>
      </c>
      <c r="B134" s="33">
        <f t="shared" si="37"/>
        <v>0</v>
      </c>
      <c r="C134" s="33">
        <f t="shared" si="38"/>
        <v>57500</v>
      </c>
      <c r="D134" s="34">
        <f t="shared" si="39"/>
        <v>0</v>
      </c>
      <c r="E134" s="32">
        <f t="shared" si="40"/>
        <v>36000</v>
      </c>
      <c r="F134" s="33">
        <f t="shared" si="61"/>
        <v>75500</v>
      </c>
      <c r="G134" s="33">
        <f t="shared" si="41"/>
        <v>4500</v>
      </c>
      <c r="H134" s="33">
        <f t="shared" si="42"/>
        <v>26100</v>
      </c>
      <c r="I134" s="33">
        <f t="shared" si="66"/>
        <v>30600</v>
      </c>
      <c r="J134" s="42">
        <f t="shared" si="67"/>
        <v>0</v>
      </c>
      <c r="K134" s="33">
        <f t="shared" si="64"/>
        <v>88100</v>
      </c>
      <c r="L134" s="33">
        <f t="shared" si="44"/>
        <v>23364</v>
      </c>
      <c r="M134" s="32">
        <f t="shared" si="62"/>
        <v>64736</v>
      </c>
      <c r="N134" s="33">
        <f t="shared" si="45"/>
        <v>0</v>
      </c>
      <c r="O134" s="34">
        <f t="shared" si="65"/>
        <v>64736</v>
      </c>
      <c r="P134" s="32">
        <f t="shared" si="46"/>
        <v>0</v>
      </c>
      <c r="Q134" s="33">
        <f t="shared" si="47"/>
        <v>0</v>
      </c>
      <c r="R134" s="33">
        <f t="shared" si="48"/>
        <v>14336</v>
      </c>
      <c r="S134" s="33">
        <f t="shared" si="49"/>
        <v>38000</v>
      </c>
      <c r="T134" s="33">
        <f t="shared" si="50"/>
        <v>12400</v>
      </c>
      <c r="U134" s="4">
        <f t="shared" si="51"/>
        <v>0</v>
      </c>
      <c r="V134" s="38">
        <f t="shared" si="52"/>
        <v>0</v>
      </c>
      <c r="W134" s="39">
        <f t="shared" si="53"/>
        <v>0</v>
      </c>
      <c r="X134" s="4">
        <f t="shared" si="54"/>
        <v>0</v>
      </c>
      <c r="Y134" s="4">
        <f t="shared" si="55"/>
        <v>3153.92</v>
      </c>
      <c r="Z134" s="4">
        <f t="shared" si="56"/>
        <v>4560</v>
      </c>
      <c r="AA134" s="4">
        <f t="shared" si="57"/>
        <v>1240</v>
      </c>
      <c r="AB134" s="4">
        <f t="shared" si="58"/>
        <v>0</v>
      </c>
      <c r="AC134" s="38">
        <f t="shared" si="63"/>
        <v>8953.92</v>
      </c>
      <c r="AD134" s="40">
        <f t="shared" si="68"/>
        <v>0.23320000000000074</v>
      </c>
    </row>
    <row r="135" spans="1:30" x14ac:dyDescent="0.3">
      <c r="A135" s="32">
        <f t="shared" si="69"/>
        <v>58000</v>
      </c>
      <c r="B135" s="33">
        <f t="shared" si="37"/>
        <v>0</v>
      </c>
      <c r="C135" s="33">
        <f t="shared" si="38"/>
        <v>58000</v>
      </c>
      <c r="D135" s="34">
        <f t="shared" si="39"/>
        <v>0</v>
      </c>
      <c r="E135" s="32">
        <f t="shared" si="40"/>
        <v>36000</v>
      </c>
      <c r="F135" s="33">
        <f t="shared" si="61"/>
        <v>76000</v>
      </c>
      <c r="G135" s="33">
        <f t="shared" si="41"/>
        <v>4500</v>
      </c>
      <c r="H135" s="33">
        <f t="shared" si="42"/>
        <v>26100</v>
      </c>
      <c r="I135" s="33">
        <f t="shared" si="66"/>
        <v>30600</v>
      </c>
      <c r="J135" s="42">
        <f t="shared" si="67"/>
        <v>0</v>
      </c>
      <c r="K135" s="33">
        <f t="shared" si="64"/>
        <v>88600</v>
      </c>
      <c r="L135" s="33">
        <f t="shared" si="44"/>
        <v>23334</v>
      </c>
      <c r="M135" s="32">
        <f t="shared" si="62"/>
        <v>65266</v>
      </c>
      <c r="N135" s="33">
        <f t="shared" si="45"/>
        <v>0</v>
      </c>
      <c r="O135" s="34">
        <f t="shared" si="65"/>
        <v>65266</v>
      </c>
      <c r="P135" s="32">
        <f t="shared" si="46"/>
        <v>0</v>
      </c>
      <c r="Q135" s="33">
        <f t="shared" si="47"/>
        <v>0</v>
      </c>
      <c r="R135" s="33">
        <f t="shared" si="48"/>
        <v>14866</v>
      </c>
      <c r="S135" s="33">
        <f t="shared" si="49"/>
        <v>38000</v>
      </c>
      <c r="T135" s="33">
        <f t="shared" si="50"/>
        <v>12400</v>
      </c>
      <c r="U135" s="4">
        <f t="shared" si="51"/>
        <v>0</v>
      </c>
      <c r="V135" s="38">
        <f t="shared" si="52"/>
        <v>0</v>
      </c>
      <c r="W135" s="39">
        <f t="shared" si="53"/>
        <v>0</v>
      </c>
      <c r="X135" s="4">
        <f t="shared" si="54"/>
        <v>0</v>
      </c>
      <c r="Y135" s="4">
        <f t="shared" si="55"/>
        <v>3270.52</v>
      </c>
      <c r="Z135" s="4">
        <f t="shared" si="56"/>
        <v>4560</v>
      </c>
      <c r="AA135" s="4">
        <f t="shared" si="57"/>
        <v>1240</v>
      </c>
      <c r="AB135" s="4">
        <f t="shared" si="58"/>
        <v>0</v>
      </c>
      <c r="AC135" s="38">
        <f t="shared" si="63"/>
        <v>9070.52</v>
      </c>
      <c r="AD135" s="40">
        <f t="shared" si="68"/>
        <v>0.23319999999999708</v>
      </c>
    </row>
    <row r="136" spans="1:30" x14ac:dyDescent="0.3">
      <c r="A136" s="32">
        <f t="shared" si="69"/>
        <v>58500</v>
      </c>
      <c r="B136" s="33">
        <f t="shared" si="37"/>
        <v>0</v>
      </c>
      <c r="C136" s="33">
        <f t="shared" si="38"/>
        <v>58500</v>
      </c>
      <c r="D136" s="34">
        <f t="shared" si="39"/>
        <v>0</v>
      </c>
      <c r="E136" s="32">
        <f t="shared" si="40"/>
        <v>36000</v>
      </c>
      <c r="F136" s="33">
        <f t="shared" si="61"/>
        <v>76500</v>
      </c>
      <c r="G136" s="33">
        <f t="shared" si="41"/>
        <v>4500</v>
      </c>
      <c r="H136" s="33">
        <f t="shared" si="42"/>
        <v>26100</v>
      </c>
      <c r="I136" s="33">
        <f t="shared" si="66"/>
        <v>30600</v>
      </c>
      <c r="J136" s="42">
        <f t="shared" si="67"/>
        <v>0</v>
      </c>
      <c r="K136" s="33">
        <f t="shared" si="64"/>
        <v>89100</v>
      </c>
      <c r="L136" s="33">
        <f t="shared" si="44"/>
        <v>23304</v>
      </c>
      <c r="M136" s="32">
        <f t="shared" si="62"/>
        <v>65796</v>
      </c>
      <c r="N136" s="33">
        <f t="shared" si="45"/>
        <v>0</v>
      </c>
      <c r="O136" s="34">
        <f t="shared" si="65"/>
        <v>65796</v>
      </c>
      <c r="P136" s="32">
        <f t="shared" si="46"/>
        <v>0</v>
      </c>
      <c r="Q136" s="33">
        <f t="shared" si="47"/>
        <v>0</v>
      </c>
      <c r="R136" s="33">
        <f t="shared" si="48"/>
        <v>15396</v>
      </c>
      <c r="S136" s="33">
        <f t="shared" si="49"/>
        <v>38000</v>
      </c>
      <c r="T136" s="33">
        <f t="shared" si="50"/>
        <v>12400</v>
      </c>
      <c r="U136" s="4">
        <f t="shared" si="51"/>
        <v>0</v>
      </c>
      <c r="V136" s="38">
        <f t="shared" si="52"/>
        <v>0</v>
      </c>
      <c r="W136" s="39">
        <f t="shared" si="53"/>
        <v>0</v>
      </c>
      <c r="X136" s="4">
        <f t="shared" si="54"/>
        <v>0</v>
      </c>
      <c r="Y136" s="4">
        <f t="shared" si="55"/>
        <v>3387.12</v>
      </c>
      <c r="Z136" s="4">
        <f t="shared" si="56"/>
        <v>4560</v>
      </c>
      <c r="AA136" s="4">
        <f t="shared" si="57"/>
        <v>1240</v>
      </c>
      <c r="AB136" s="4">
        <f t="shared" si="58"/>
        <v>0</v>
      </c>
      <c r="AC136" s="38">
        <f t="shared" si="63"/>
        <v>9187.119999999999</v>
      </c>
      <c r="AD136" s="40">
        <f t="shared" si="68"/>
        <v>0.23320000000000074</v>
      </c>
    </row>
    <row r="137" spans="1:30" x14ac:dyDescent="0.3">
      <c r="A137" s="32">
        <f t="shared" si="69"/>
        <v>59000</v>
      </c>
      <c r="B137" s="33">
        <f t="shared" si="37"/>
        <v>0</v>
      </c>
      <c r="C137" s="33">
        <f t="shared" si="38"/>
        <v>59000</v>
      </c>
      <c r="D137" s="34">
        <f t="shared" si="39"/>
        <v>0</v>
      </c>
      <c r="E137" s="32">
        <f t="shared" si="40"/>
        <v>36000</v>
      </c>
      <c r="F137" s="33">
        <f t="shared" si="61"/>
        <v>77000</v>
      </c>
      <c r="G137" s="33">
        <f t="shared" si="41"/>
        <v>4500</v>
      </c>
      <c r="H137" s="33">
        <f t="shared" si="42"/>
        <v>26100</v>
      </c>
      <c r="I137" s="33">
        <f t="shared" si="66"/>
        <v>30600</v>
      </c>
      <c r="J137" s="42">
        <f t="shared" si="67"/>
        <v>0</v>
      </c>
      <c r="K137" s="33">
        <f t="shared" si="64"/>
        <v>89600</v>
      </c>
      <c r="L137" s="33">
        <f t="shared" si="44"/>
        <v>23274</v>
      </c>
      <c r="M137" s="32">
        <f t="shared" si="62"/>
        <v>66326</v>
      </c>
      <c r="N137" s="33">
        <f t="shared" si="45"/>
        <v>0</v>
      </c>
      <c r="O137" s="34">
        <f t="shared" si="65"/>
        <v>66326</v>
      </c>
      <c r="P137" s="32">
        <f t="shared" si="46"/>
        <v>0</v>
      </c>
      <c r="Q137" s="33">
        <f t="shared" si="47"/>
        <v>0</v>
      </c>
      <c r="R137" s="33">
        <f t="shared" si="48"/>
        <v>15926</v>
      </c>
      <c r="S137" s="33">
        <f t="shared" si="49"/>
        <v>38000</v>
      </c>
      <c r="T137" s="33">
        <f t="shared" si="50"/>
        <v>12400</v>
      </c>
      <c r="U137" s="4">
        <f t="shared" si="51"/>
        <v>0</v>
      </c>
      <c r="V137" s="38">
        <f t="shared" si="52"/>
        <v>0</v>
      </c>
      <c r="W137" s="39">
        <f t="shared" si="53"/>
        <v>0</v>
      </c>
      <c r="X137" s="4">
        <f t="shared" si="54"/>
        <v>0</v>
      </c>
      <c r="Y137" s="4">
        <f t="shared" si="55"/>
        <v>3503.72</v>
      </c>
      <c r="Z137" s="4">
        <f t="shared" si="56"/>
        <v>4560</v>
      </c>
      <c r="AA137" s="4">
        <f t="shared" si="57"/>
        <v>1240</v>
      </c>
      <c r="AB137" s="4">
        <f t="shared" si="58"/>
        <v>0</v>
      </c>
      <c r="AC137" s="38">
        <f t="shared" si="63"/>
        <v>9303.7199999999993</v>
      </c>
      <c r="AD137" s="40">
        <f t="shared" si="68"/>
        <v>0.23320000000000074</v>
      </c>
    </row>
    <row r="138" spans="1:30" x14ac:dyDescent="0.3">
      <c r="A138" s="32">
        <f t="shared" si="69"/>
        <v>59500</v>
      </c>
      <c r="B138" s="33">
        <f t="shared" si="37"/>
        <v>0</v>
      </c>
      <c r="C138" s="33">
        <f t="shared" si="38"/>
        <v>59500</v>
      </c>
      <c r="D138" s="34">
        <f t="shared" si="39"/>
        <v>0</v>
      </c>
      <c r="E138" s="32">
        <f t="shared" si="40"/>
        <v>36000</v>
      </c>
      <c r="F138" s="33">
        <f t="shared" si="61"/>
        <v>77500</v>
      </c>
      <c r="G138" s="33">
        <f t="shared" si="41"/>
        <v>4500</v>
      </c>
      <c r="H138" s="33">
        <f t="shared" si="42"/>
        <v>26100</v>
      </c>
      <c r="I138" s="33">
        <f t="shared" si="66"/>
        <v>30600</v>
      </c>
      <c r="J138" s="42">
        <f t="shared" si="67"/>
        <v>0</v>
      </c>
      <c r="K138" s="33">
        <f t="shared" si="64"/>
        <v>90100</v>
      </c>
      <c r="L138" s="33">
        <f t="shared" si="44"/>
        <v>23244</v>
      </c>
      <c r="M138" s="32">
        <f t="shared" si="62"/>
        <v>66856</v>
      </c>
      <c r="N138" s="33">
        <f t="shared" si="45"/>
        <v>0</v>
      </c>
      <c r="O138" s="34">
        <f t="shared" si="65"/>
        <v>66856</v>
      </c>
      <c r="P138" s="32">
        <f t="shared" si="46"/>
        <v>0</v>
      </c>
      <c r="Q138" s="33">
        <f t="shared" si="47"/>
        <v>0</v>
      </c>
      <c r="R138" s="33">
        <f t="shared" si="48"/>
        <v>16456</v>
      </c>
      <c r="S138" s="33">
        <f t="shared" si="49"/>
        <v>38000</v>
      </c>
      <c r="T138" s="33">
        <f t="shared" si="50"/>
        <v>12400</v>
      </c>
      <c r="U138" s="4">
        <f t="shared" si="51"/>
        <v>0</v>
      </c>
      <c r="V138" s="38">
        <f t="shared" si="52"/>
        <v>0</v>
      </c>
      <c r="W138" s="39">
        <f t="shared" si="53"/>
        <v>0</v>
      </c>
      <c r="X138" s="4">
        <f t="shared" si="54"/>
        <v>0</v>
      </c>
      <c r="Y138" s="4">
        <f t="shared" si="55"/>
        <v>3620.32</v>
      </c>
      <c r="Z138" s="4">
        <f t="shared" si="56"/>
        <v>4560</v>
      </c>
      <c r="AA138" s="4">
        <f t="shared" si="57"/>
        <v>1240</v>
      </c>
      <c r="AB138" s="4">
        <f t="shared" si="58"/>
        <v>0</v>
      </c>
      <c r="AC138" s="38">
        <f t="shared" si="63"/>
        <v>9420.32</v>
      </c>
      <c r="AD138" s="40">
        <f t="shared" si="68"/>
        <v>0.23320000000000074</v>
      </c>
    </row>
    <row r="139" spans="1:30" x14ac:dyDescent="0.3">
      <c r="A139" s="32">
        <f t="shared" si="69"/>
        <v>60000</v>
      </c>
      <c r="B139" s="33">
        <f t="shared" si="37"/>
        <v>0</v>
      </c>
      <c r="C139" s="33">
        <f t="shared" si="38"/>
        <v>60000</v>
      </c>
      <c r="D139" s="34">
        <f t="shared" si="39"/>
        <v>0</v>
      </c>
      <c r="E139" s="32">
        <f t="shared" si="40"/>
        <v>36000</v>
      </c>
      <c r="F139" s="33">
        <f t="shared" si="61"/>
        <v>78000</v>
      </c>
      <c r="G139" s="33">
        <f t="shared" si="41"/>
        <v>4500</v>
      </c>
      <c r="H139" s="33">
        <f t="shared" si="42"/>
        <v>26100</v>
      </c>
      <c r="I139" s="33">
        <f t="shared" si="66"/>
        <v>30600</v>
      </c>
      <c r="J139" s="42">
        <f t="shared" si="67"/>
        <v>0</v>
      </c>
      <c r="K139" s="33">
        <f t="shared" si="64"/>
        <v>90600</v>
      </c>
      <c r="L139" s="33">
        <f t="shared" si="44"/>
        <v>23214</v>
      </c>
      <c r="M139" s="32">
        <f t="shared" si="62"/>
        <v>67386</v>
      </c>
      <c r="N139" s="33">
        <f t="shared" si="45"/>
        <v>0</v>
      </c>
      <c r="O139" s="34">
        <f t="shared" si="65"/>
        <v>67386</v>
      </c>
      <c r="P139" s="32">
        <f t="shared" si="46"/>
        <v>0</v>
      </c>
      <c r="Q139" s="33">
        <f t="shared" si="47"/>
        <v>0</v>
      </c>
      <c r="R139" s="33">
        <f t="shared" si="48"/>
        <v>16986</v>
      </c>
      <c r="S139" s="33">
        <f t="shared" si="49"/>
        <v>38000</v>
      </c>
      <c r="T139" s="33">
        <f t="shared" si="50"/>
        <v>12400</v>
      </c>
      <c r="U139" s="4">
        <f t="shared" si="51"/>
        <v>0</v>
      </c>
      <c r="V139" s="38">
        <f t="shared" si="52"/>
        <v>0</v>
      </c>
      <c r="W139" s="39">
        <f t="shared" si="53"/>
        <v>0</v>
      </c>
      <c r="X139" s="4">
        <f t="shared" si="54"/>
        <v>0</v>
      </c>
      <c r="Y139" s="4">
        <f t="shared" si="55"/>
        <v>3736.92</v>
      </c>
      <c r="Z139" s="4">
        <f t="shared" si="56"/>
        <v>4560</v>
      </c>
      <c r="AA139" s="4">
        <f t="shared" si="57"/>
        <v>1240</v>
      </c>
      <c r="AB139" s="4">
        <f t="shared" si="58"/>
        <v>0</v>
      </c>
      <c r="AC139" s="38">
        <f t="shared" si="63"/>
        <v>9536.92</v>
      </c>
      <c r="AD139" s="40">
        <f t="shared" si="68"/>
        <v>0.23320000000000074</v>
      </c>
    </row>
    <row r="140" spans="1:30" x14ac:dyDescent="0.3">
      <c r="A140" s="32">
        <f t="shared" si="69"/>
        <v>60500</v>
      </c>
      <c r="B140" s="33">
        <f t="shared" si="37"/>
        <v>0</v>
      </c>
      <c r="C140" s="33">
        <f t="shared" si="38"/>
        <v>60500</v>
      </c>
      <c r="D140" s="34">
        <f t="shared" si="39"/>
        <v>0</v>
      </c>
      <c r="E140" s="32">
        <f t="shared" si="40"/>
        <v>36000</v>
      </c>
      <c r="F140" s="33">
        <f t="shared" si="61"/>
        <v>78500</v>
      </c>
      <c r="G140" s="33">
        <f t="shared" si="41"/>
        <v>4500</v>
      </c>
      <c r="H140" s="33">
        <f t="shared" si="42"/>
        <v>26100</v>
      </c>
      <c r="I140" s="33">
        <f t="shared" si="66"/>
        <v>30600</v>
      </c>
      <c r="J140" s="42">
        <f t="shared" si="67"/>
        <v>0</v>
      </c>
      <c r="K140" s="33">
        <f t="shared" si="64"/>
        <v>91100</v>
      </c>
      <c r="L140" s="33">
        <f t="shared" si="44"/>
        <v>23184</v>
      </c>
      <c r="M140" s="32">
        <f t="shared" si="62"/>
        <v>67916</v>
      </c>
      <c r="N140" s="33">
        <f t="shared" si="45"/>
        <v>0</v>
      </c>
      <c r="O140" s="34">
        <f t="shared" si="65"/>
        <v>67916</v>
      </c>
      <c r="P140" s="32">
        <f t="shared" si="46"/>
        <v>0</v>
      </c>
      <c r="Q140" s="33">
        <f t="shared" si="47"/>
        <v>0</v>
      </c>
      <c r="R140" s="33">
        <f t="shared" si="48"/>
        <v>17516</v>
      </c>
      <c r="S140" s="33">
        <f t="shared" si="49"/>
        <v>38000</v>
      </c>
      <c r="T140" s="33">
        <f t="shared" si="50"/>
        <v>12400</v>
      </c>
      <c r="U140" s="4">
        <f t="shared" si="51"/>
        <v>0</v>
      </c>
      <c r="V140" s="38">
        <f t="shared" si="52"/>
        <v>0</v>
      </c>
      <c r="W140" s="39">
        <f t="shared" si="53"/>
        <v>0</v>
      </c>
      <c r="X140" s="4">
        <f t="shared" si="54"/>
        <v>0</v>
      </c>
      <c r="Y140" s="4">
        <f t="shared" si="55"/>
        <v>3853.52</v>
      </c>
      <c r="Z140" s="4">
        <f t="shared" si="56"/>
        <v>4560</v>
      </c>
      <c r="AA140" s="4">
        <f t="shared" si="57"/>
        <v>1240</v>
      </c>
      <c r="AB140" s="4">
        <f t="shared" si="58"/>
        <v>0</v>
      </c>
      <c r="AC140" s="38">
        <f t="shared" si="63"/>
        <v>9653.52</v>
      </c>
      <c r="AD140" s="40">
        <f t="shared" si="68"/>
        <v>0.23319999999999708</v>
      </c>
    </row>
    <row r="141" spans="1:30" x14ac:dyDescent="0.3">
      <c r="A141" s="32">
        <f t="shared" si="69"/>
        <v>61000</v>
      </c>
      <c r="B141" s="33">
        <f t="shared" si="37"/>
        <v>0</v>
      </c>
      <c r="C141" s="33">
        <f t="shared" si="38"/>
        <v>61000</v>
      </c>
      <c r="D141" s="34">
        <f t="shared" si="39"/>
        <v>0</v>
      </c>
      <c r="E141" s="32">
        <f t="shared" si="40"/>
        <v>36000</v>
      </c>
      <c r="F141" s="33">
        <f t="shared" si="61"/>
        <v>79000</v>
      </c>
      <c r="G141" s="33">
        <f t="shared" si="41"/>
        <v>4500</v>
      </c>
      <c r="H141" s="33">
        <f t="shared" si="42"/>
        <v>26100</v>
      </c>
      <c r="I141" s="33">
        <f t="shared" si="66"/>
        <v>30600</v>
      </c>
      <c r="J141" s="42">
        <f t="shared" si="67"/>
        <v>0</v>
      </c>
      <c r="K141" s="33">
        <f t="shared" si="64"/>
        <v>91600</v>
      </c>
      <c r="L141" s="33">
        <f t="shared" si="44"/>
        <v>23154</v>
      </c>
      <c r="M141" s="32">
        <f t="shared" si="62"/>
        <v>68446</v>
      </c>
      <c r="N141" s="33">
        <f t="shared" si="45"/>
        <v>0</v>
      </c>
      <c r="O141" s="34">
        <f t="shared" si="65"/>
        <v>68446</v>
      </c>
      <c r="P141" s="32">
        <f t="shared" si="46"/>
        <v>0</v>
      </c>
      <c r="Q141" s="33">
        <f t="shared" si="47"/>
        <v>0</v>
      </c>
      <c r="R141" s="33">
        <f t="shared" si="48"/>
        <v>18046</v>
      </c>
      <c r="S141" s="33">
        <f t="shared" si="49"/>
        <v>38000</v>
      </c>
      <c r="T141" s="33">
        <f t="shared" si="50"/>
        <v>12400</v>
      </c>
      <c r="U141" s="4">
        <f t="shared" si="51"/>
        <v>0</v>
      </c>
      <c r="V141" s="38">
        <f t="shared" si="52"/>
        <v>0</v>
      </c>
      <c r="W141" s="39">
        <f t="shared" si="53"/>
        <v>0</v>
      </c>
      <c r="X141" s="4">
        <f t="shared" si="54"/>
        <v>0</v>
      </c>
      <c r="Y141" s="4">
        <f t="shared" si="55"/>
        <v>3970.12</v>
      </c>
      <c r="Z141" s="4">
        <f t="shared" si="56"/>
        <v>4560</v>
      </c>
      <c r="AA141" s="4">
        <f t="shared" si="57"/>
        <v>1240</v>
      </c>
      <c r="AB141" s="4">
        <f t="shared" si="58"/>
        <v>0</v>
      </c>
      <c r="AC141" s="38">
        <f t="shared" si="63"/>
        <v>9770.119999999999</v>
      </c>
      <c r="AD141" s="40">
        <f t="shared" si="68"/>
        <v>0.23320000000000074</v>
      </c>
    </row>
    <row r="142" spans="1:30" x14ac:dyDescent="0.3">
      <c r="A142" s="32">
        <f t="shared" si="69"/>
        <v>61500</v>
      </c>
      <c r="B142" s="33">
        <f t="shared" si="37"/>
        <v>0</v>
      </c>
      <c r="C142" s="33">
        <f t="shared" si="38"/>
        <v>61500</v>
      </c>
      <c r="D142" s="34">
        <f t="shared" si="39"/>
        <v>0</v>
      </c>
      <c r="E142" s="32">
        <f t="shared" si="40"/>
        <v>36000</v>
      </c>
      <c r="F142" s="33">
        <f t="shared" si="61"/>
        <v>79500</v>
      </c>
      <c r="G142" s="33">
        <f t="shared" si="41"/>
        <v>4500</v>
      </c>
      <c r="H142" s="33">
        <f t="shared" si="42"/>
        <v>26100</v>
      </c>
      <c r="I142" s="33">
        <f t="shared" si="66"/>
        <v>30600</v>
      </c>
      <c r="J142" s="42">
        <f t="shared" si="67"/>
        <v>0</v>
      </c>
      <c r="K142" s="33">
        <f t="shared" si="64"/>
        <v>92100</v>
      </c>
      <c r="L142" s="33">
        <f t="shared" si="44"/>
        <v>23124</v>
      </c>
      <c r="M142" s="32">
        <f t="shared" si="62"/>
        <v>68976</v>
      </c>
      <c r="N142" s="33">
        <f t="shared" si="45"/>
        <v>0</v>
      </c>
      <c r="O142" s="34">
        <f t="shared" si="65"/>
        <v>68976</v>
      </c>
      <c r="P142" s="32">
        <f t="shared" si="46"/>
        <v>0</v>
      </c>
      <c r="Q142" s="33">
        <f t="shared" si="47"/>
        <v>0</v>
      </c>
      <c r="R142" s="33">
        <f t="shared" si="48"/>
        <v>18576</v>
      </c>
      <c r="S142" s="33">
        <f t="shared" si="49"/>
        <v>38000</v>
      </c>
      <c r="T142" s="33">
        <f t="shared" si="50"/>
        <v>12400</v>
      </c>
      <c r="U142" s="4">
        <f t="shared" si="51"/>
        <v>0</v>
      </c>
      <c r="V142" s="38">
        <f t="shared" si="52"/>
        <v>0</v>
      </c>
      <c r="W142" s="39">
        <f t="shared" si="53"/>
        <v>0</v>
      </c>
      <c r="X142" s="4">
        <f t="shared" si="54"/>
        <v>0</v>
      </c>
      <c r="Y142" s="4">
        <f t="shared" si="55"/>
        <v>4086.72</v>
      </c>
      <c r="Z142" s="4">
        <f t="shared" si="56"/>
        <v>4560</v>
      </c>
      <c r="AA142" s="4">
        <f t="shared" si="57"/>
        <v>1240</v>
      </c>
      <c r="AB142" s="4">
        <f t="shared" si="58"/>
        <v>0</v>
      </c>
      <c r="AC142" s="38">
        <f t="shared" si="63"/>
        <v>9886.7199999999993</v>
      </c>
      <c r="AD142" s="40">
        <f t="shared" si="68"/>
        <v>0.23320000000000074</v>
      </c>
    </row>
    <row r="143" spans="1:30" x14ac:dyDescent="0.3">
      <c r="A143" s="32">
        <f t="shared" si="69"/>
        <v>62000</v>
      </c>
      <c r="B143" s="33">
        <f t="shared" si="37"/>
        <v>0</v>
      </c>
      <c r="C143" s="33">
        <f t="shared" si="38"/>
        <v>62000</v>
      </c>
      <c r="D143" s="34">
        <f t="shared" si="39"/>
        <v>0</v>
      </c>
      <c r="E143" s="32">
        <f t="shared" si="40"/>
        <v>36000</v>
      </c>
      <c r="F143" s="33">
        <f t="shared" si="61"/>
        <v>80000</v>
      </c>
      <c r="G143" s="33">
        <f t="shared" si="41"/>
        <v>4500</v>
      </c>
      <c r="H143" s="33">
        <f t="shared" si="42"/>
        <v>26100</v>
      </c>
      <c r="I143" s="33">
        <f t="shared" si="66"/>
        <v>30600</v>
      </c>
      <c r="J143" s="42">
        <f t="shared" si="67"/>
        <v>0</v>
      </c>
      <c r="K143" s="33">
        <f t="shared" si="64"/>
        <v>92600</v>
      </c>
      <c r="L143" s="33">
        <f t="shared" si="44"/>
        <v>23094</v>
      </c>
      <c r="M143" s="32">
        <f t="shared" si="62"/>
        <v>69506</v>
      </c>
      <c r="N143" s="33">
        <f t="shared" si="45"/>
        <v>0</v>
      </c>
      <c r="O143" s="34">
        <f t="shared" si="65"/>
        <v>69506</v>
      </c>
      <c r="P143" s="32">
        <f t="shared" si="46"/>
        <v>0</v>
      </c>
      <c r="Q143" s="33">
        <f t="shared" si="47"/>
        <v>0</v>
      </c>
      <c r="R143" s="33">
        <f t="shared" si="48"/>
        <v>19106</v>
      </c>
      <c r="S143" s="33">
        <f t="shared" si="49"/>
        <v>38000</v>
      </c>
      <c r="T143" s="33">
        <f t="shared" si="50"/>
        <v>12400</v>
      </c>
      <c r="U143" s="4">
        <f t="shared" si="51"/>
        <v>0</v>
      </c>
      <c r="V143" s="38">
        <f t="shared" si="52"/>
        <v>0</v>
      </c>
      <c r="W143" s="39">
        <f t="shared" si="53"/>
        <v>0</v>
      </c>
      <c r="X143" s="4">
        <f t="shared" si="54"/>
        <v>0</v>
      </c>
      <c r="Y143" s="4">
        <f t="shared" si="55"/>
        <v>4203.32</v>
      </c>
      <c r="Z143" s="4">
        <f t="shared" si="56"/>
        <v>4560</v>
      </c>
      <c r="AA143" s="4">
        <f t="shared" si="57"/>
        <v>1240</v>
      </c>
      <c r="AB143" s="4">
        <f t="shared" si="58"/>
        <v>0</v>
      </c>
      <c r="AC143" s="38">
        <f t="shared" si="63"/>
        <v>10003.32</v>
      </c>
      <c r="AD143" s="40">
        <f t="shared" si="68"/>
        <v>0.23320000000000074</v>
      </c>
    </row>
    <row r="144" spans="1:30" x14ac:dyDescent="0.3">
      <c r="A144" s="32">
        <f t="shared" si="69"/>
        <v>62500</v>
      </c>
      <c r="B144" s="33">
        <f t="shared" si="37"/>
        <v>0</v>
      </c>
      <c r="C144" s="33">
        <f t="shared" si="38"/>
        <v>62500</v>
      </c>
      <c r="D144" s="34">
        <f t="shared" si="39"/>
        <v>0</v>
      </c>
      <c r="E144" s="32">
        <f t="shared" si="40"/>
        <v>36000</v>
      </c>
      <c r="F144" s="33">
        <f t="shared" si="61"/>
        <v>80500</v>
      </c>
      <c r="G144" s="33">
        <f t="shared" si="41"/>
        <v>4500</v>
      </c>
      <c r="H144" s="33">
        <f t="shared" si="42"/>
        <v>26100</v>
      </c>
      <c r="I144" s="33">
        <f t="shared" si="66"/>
        <v>30600</v>
      </c>
      <c r="J144" s="42">
        <f t="shared" si="67"/>
        <v>0</v>
      </c>
      <c r="K144" s="33">
        <f t="shared" si="64"/>
        <v>93100</v>
      </c>
      <c r="L144" s="33">
        <f t="shared" si="44"/>
        <v>23064</v>
      </c>
      <c r="M144" s="32">
        <f t="shared" si="62"/>
        <v>70036</v>
      </c>
      <c r="N144" s="33">
        <f t="shared" si="45"/>
        <v>0</v>
      </c>
      <c r="O144" s="34">
        <f t="shared" si="65"/>
        <v>70036</v>
      </c>
      <c r="P144" s="32">
        <f t="shared" si="46"/>
        <v>0</v>
      </c>
      <c r="Q144" s="33">
        <f t="shared" si="47"/>
        <v>0</v>
      </c>
      <c r="R144" s="33">
        <f t="shared" si="48"/>
        <v>19636</v>
      </c>
      <c r="S144" s="33">
        <f t="shared" si="49"/>
        <v>38000</v>
      </c>
      <c r="T144" s="33">
        <f t="shared" si="50"/>
        <v>12400</v>
      </c>
      <c r="U144" s="4">
        <f t="shared" si="51"/>
        <v>0</v>
      </c>
      <c r="V144" s="38">
        <f t="shared" si="52"/>
        <v>0</v>
      </c>
      <c r="W144" s="39">
        <f t="shared" si="53"/>
        <v>0</v>
      </c>
      <c r="X144" s="4">
        <f t="shared" si="54"/>
        <v>0</v>
      </c>
      <c r="Y144" s="4">
        <f t="shared" si="55"/>
        <v>4319.92</v>
      </c>
      <c r="Z144" s="4">
        <f t="shared" si="56"/>
        <v>4560</v>
      </c>
      <c r="AA144" s="4">
        <f t="shared" si="57"/>
        <v>1240</v>
      </c>
      <c r="AB144" s="4">
        <f t="shared" si="58"/>
        <v>0</v>
      </c>
      <c r="AC144" s="38">
        <f t="shared" si="63"/>
        <v>10119.92</v>
      </c>
      <c r="AD144" s="40">
        <f t="shared" si="68"/>
        <v>0.23320000000000074</v>
      </c>
    </row>
    <row r="145" spans="1:30" x14ac:dyDescent="0.3">
      <c r="A145" s="32">
        <f t="shared" si="69"/>
        <v>63000</v>
      </c>
      <c r="B145" s="33">
        <f t="shared" si="37"/>
        <v>0</v>
      </c>
      <c r="C145" s="33">
        <f t="shared" si="38"/>
        <v>63000</v>
      </c>
      <c r="D145" s="34">
        <f t="shared" si="39"/>
        <v>0</v>
      </c>
      <c r="E145" s="32">
        <f t="shared" si="40"/>
        <v>36000</v>
      </c>
      <c r="F145" s="33">
        <f t="shared" si="61"/>
        <v>81000</v>
      </c>
      <c r="G145" s="33">
        <f t="shared" si="41"/>
        <v>4500</v>
      </c>
      <c r="H145" s="33">
        <f t="shared" si="42"/>
        <v>26100</v>
      </c>
      <c r="I145" s="33">
        <f t="shared" si="66"/>
        <v>30600</v>
      </c>
      <c r="J145" s="42">
        <f t="shared" si="67"/>
        <v>0</v>
      </c>
      <c r="K145" s="33">
        <f t="shared" si="64"/>
        <v>93600</v>
      </c>
      <c r="L145" s="33">
        <f t="shared" si="44"/>
        <v>23034</v>
      </c>
      <c r="M145" s="32">
        <f t="shared" si="62"/>
        <v>70566</v>
      </c>
      <c r="N145" s="33">
        <f t="shared" si="45"/>
        <v>0</v>
      </c>
      <c r="O145" s="34">
        <f t="shared" si="65"/>
        <v>70566</v>
      </c>
      <c r="P145" s="32">
        <f t="shared" si="46"/>
        <v>0</v>
      </c>
      <c r="Q145" s="33">
        <f t="shared" si="47"/>
        <v>0</v>
      </c>
      <c r="R145" s="33">
        <f t="shared" si="48"/>
        <v>20166</v>
      </c>
      <c r="S145" s="33">
        <f t="shared" si="49"/>
        <v>38000</v>
      </c>
      <c r="T145" s="33">
        <f t="shared" si="50"/>
        <v>12400</v>
      </c>
      <c r="U145" s="4">
        <f t="shared" si="51"/>
        <v>0</v>
      </c>
      <c r="V145" s="38">
        <f t="shared" si="52"/>
        <v>0</v>
      </c>
      <c r="W145" s="39">
        <f t="shared" si="53"/>
        <v>0</v>
      </c>
      <c r="X145" s="4">
        <f t="shared" si="54"/>
        <v>0</v>
      </c>
      <c r="Y145" s="4">
        <f t="shared" si="55"/>
        <v>4436.5200000000004</v>
      </c>
      <c r="Z145" s="4">
        <f t="shared" si="56"/>
        <v>4560</v>
      </c>
      <c r="AA145" s="4">
        <f t="shared" si="57"/>
        <v>1240</v>
      </c>
      <c r="AB145" s="4">
        <f t="shared" si="58"/>
        <v>0</v>
      </c>
      <c r="AC145" s="38">
        <f t="shared" si="63"/>
        <v>10236.52</v>
      </c>
      <c r="AD145" s="40">
        <f t="shared" si="68"/>
        <v>0.23319999999999708</v>
      </c>
    </row>
    <row r="146" spans="1:30" x14ac:dyDescent="0.3">
      <c r="A146" s="32">
        <f t="shared" si="69"/>
        <v>63500</v>
      </c>
      <c r="B146" s="33">
        <f t="shared" si="37"/>
        <v>0</v>
      </c>
      <c r="C146" s="33">
        <f t="shared" si="38"/>
        <v>63500</v>
      </c>
      <c r="D146" s="34">
        <f t="shared" si="39"/>
        <v>0</v>
      </c>
      <c r="E146" s="32">
        <f t="shared" si="40"/>
        <v>36000</v>
      </c>
      <c r="F146" s="33">
        <f t="shared" si="61"/>
        <v>81500</v>
      </c>
      <c r="G146" s="33">
        <f t="shared" si="41"/>
        <v>4500</v>
      </c>
      <c r="H146" s="33">
        <f t="shared" si="42"/>
        <v>26100</v>
      </c>
      <c r="I146" s="33">
        <f t="shared" si="66"/>
        <v>30600</v>
      </c>
      <c r="J146" s="42">
        <f t="shared" si="67"/>
        <v>0</v>
      </c>
      <c r="K146" s="33">
        <f t="shared" si="64"/>
        <v>94100</v>
      </c>
      <c r="L146" s="33">
        <f t="shared" si="44"/>
        <v>23004</v>
      </c>
      <c r="M146" s="32">
        <f t="shared" si="62"/>
        <v>71096</v>
      </c>
      <c r="N146" s="33">
        <f t="shared" si="45"/>
        <v>0</v>
      </c>
      <c r="O146" s="34">
        <f t="shared" si="65"/>
        <v>71096</v>
      </c>
      <c r="P146" s="32">
        <f t="shared" si="46"/>
        <v>0</v>
      </c>
      <c r="Q146" s="33">
        <f t="shared" si="47"/>
        <v>0</v>
      </c>
      <c r="R146" s="33">
        <f t="shared" si="48"/>
        <v>20696</v>
      </c>
      <c r="S146" s="33">
        <f t="shared" si="49"/>
        <v>38000</v>
      </c>
      <c r="T146" s="33">
        <f t="shared" si="50"/>
        <v>12400</v>
      </c>
      <c r="U146" s="4">
        <f t="shared" si="51"/>
        <v>0</v>
      </c>
      <c r="V146" s="38">
        <f t="shared" si="52"/>
        <v>0</v>
      </c>
      <c r="W146" s="39">
        <f t="shared" si="53"/>
        <v>0</v>
      </c>
      <c r="X146" s="4">
        <f t="shared" si="54"/>
        <v>0</v>
      </c>
      <c r="Y146" s="4">
        <f t="shared" si="55"/>
        <v>4553.12</v>
      </c>
      <c r="Z146" s="4">
        <f t="shared" si="56"/>
        <v>4560</v>
      </c>
      <c r="AA146" s="4">
        <f t="shared" si="57"/>
        <v>1240</v>
      </c>
      <c r="AB146" s="4">
        <f t="shared" si="58"/>
        <v>0</v>
      </c>
      <c r="AC146" s="38">
        <f t="shared" si="63"/>
        <v>10353.119999999999</v>
      </c>
      <c r="AD146" s="40">
        <f t="shared" si="68"/>
        <v>0.23320000000000438</v>
      </c>
    </row>
    <row r="147" spans="1:30" x14ac:dyDescent="0.3">
      <c r="A147" s="32">
        <f t="shared" si="69"/>
        <v>64000</v>
      </c>
      <c r="B147" s="33">
        <f t="shared" ref="B147:B210" si="70">IF(B$10=1,A147,B$4)</f>
        <v>0</v>
      </c>
      <c r="C147" s="33">
        <f t="shared" ref="C147:C210" si="71">IF(B$10=2,A147,B$5)</f>
        <v>64000</v>
      </c>
      <c r="D147" s="34">
        <f t="shared" ref="D147:D210" si="72">IF(B$10=3,A147,B$6)</f>
        <v>0</v>
      </c>
      <c r="E147" s="32">
        <f t="shared" ref="E147:E210" si="73">IF(B$10=4,A147,B$7)</f>
        <v>36000</v>
      </c>
      <c r="F147" s="33">
        <f t="shared" si="61"/>
        <v>82000</v>
      </c>
      <c r="G147" s="33">
        <f t="shared" ref="G147:G210" si="74">MIN(50%*E147,MAX(0,50%*MIN(N$5-N$4,F147-N$4)))</f>
        <v>4500</v>
      </c>
      <c r="H147" s="33">
        <f t="shared" ref="H147:H210" si="75">MIN(85%*E147-G147,85%*MAX(0,F147-N$5))</f>
        <v>26100</v>
      </c>
      <c r="I147" s="33">
        <f t="shared" si="66"/>
        <v>30600</v>
      </c>
      <c r="J147" s="42">
        <f t="shared" ref="J147:J178" si="76">(I148-I147)/B$12</f>
        <v>0</v>
      </c>
      <c r="K147" s="33">
        <f t="shared" si="64"/>
        <v>94600</v>
      </c>
      <c r="L147" s="33">
        <f t="shared" ref="L147:L210" si="77">N$2+N$3+IF(N$13=0,0,N$13*B$3*(1-MAX(0,MIN(1,(K147-N$14)/(N$15-N$14)))))</f>
        <v>22974</v>
      </c>
      <c r="M147" s="32">
        <f t="shared" si="62"/>
        <v>71626</v>
      </c>
      <c r="N147" s="33">
        <f t="shared" ref="N147:N210" si="78">MIN(D147,M147)</f>
        <v>0</v>
      </c>
      <c r="O147" s="34">
        <f t="shared" si="65"/>
        <v>71626</v>
      </c>
      <c r="P147" s="32">
        <f t="shared" ref="P147:P210" si="79">MAX(0,O147-N$10)</f>
        <v>0</v>
      </c>
      <c r="Q147" s="33">
        <f t="shared" ref="Q147:Q210" si="80">MAX(0,O147-N$9)-P147</f>
        <v>0</v>
      </c>
      <c r="R147" s="33">
        <f t="shared" ref="R147:R210" si="81">MAX(0,O147-N$8)-P147-Q147</f>
        <v>21226</v>
      </c>
      <c r="S147" s="33">
        <f t="shared" ref="S147:S210" si="82">MAX(0,O147-N$7)-P147-Q147-R147</f>
        <v>38000</v>
      </c>
      <c r="T147" s="33">
        <f t="shared" ref="T147:T210" si="83">MAX(0,O147-N$6)-P147-Q147-R147-S147</f>
        <v>12400</v>
      </c>
      <c r="U147" s="4">
        <f t="shared" ref="U147:U210" si="84">MAX(0,MIN(N147,M147-N$12))</f>
        <v>0</v>
      </c>
      <c r="V147" s="38">
        <f t="shared" ref="V147:V210" si="85">MAX(0,MIN(N147,M147-N$11))-U147</f>
        <v>0</v>
      </c>
      <c r="W147" s="39">
        <f t="shared" ref="W147:W210" si="86">P147*L$10</f>
        <v>0</v>
      </c>
      <c r="X147" s="4">
        <f t="shared" ref="X147:X210" si="87">Q147*L$9</f>
        <v>0</v>
      </c>
      <c r="Y147" s="4">
        <f t="shared" ref="Y147:Y210" si="88">R147*L$8</f>
        <v>4669.72</v>
      </c>
      <c r="Z147" s="4">
        <f t="shared" ref="Z147:Z210" si="89">S147*L$7</f>
        <v>4560</v>
      </c>
      <c r="AA147" s="4">
        <f t="shared" ref="AA147:AA210" si="90">T147*L$6</f>
        <v>1240</v>
      </c>
      <c r="AB147" s="4">
        <f t="shared" ref="AB147:AB210" si="91">U147*L$12</f>
        <v>0</v>
      </c>
      <c r="AC147" s="38">
        <f t="shared" si="63"/>
        <v>10469.720000000001</v>
      </c>
      <c r="AD147" s="40">
        <f t="shared" ref="AD147:AD178" si="92">(AC148-AC147)/B$12</f>
        <v>0.23319999999999708</v>
      </c>
    </row>
    <row r="148" spans="1:30" x14ac:dyDescent="0.3">
      <c r="A148" s="32">
        <f t="shared" ref="A148:A179" si="93">A147+B$12</f>
        <v>64500</v>
      </c>
      <c r="B148" s="33">
        <f t="shared" si="70"/>
        <v>0</v>
      </c>
      <c r="C148" s="33">
        <f t="shared" si="71"/>
        <v>64500</v>
      </c>
      <c r="D148" s="34">
        <f t="shared" si="72"/>
        <v>0</v>
      </c>
      <c r="E148" s="32">
        <f t="shared" si="73"/>
        <v>36000</v>
      </c>
      <c r="F148" s="33">
        <f t="shared" ref="F148:F211" si="94">B148+C148+D148+E148/2</f>
        <v>82500</v>
      </c>
      <c r="G148" s="33">
        <f t="shared" si="74"/>
        <v>4500</v>
      </c>
      <c r="H148" s="33">
        <f t="shared" si="75"/>
        <v>26100</v>
      </c>
      <c r="I148" s="33">
        <f t="shared" si="66"/>
        <v>30600</v>
      </c>
      <c r="J148" s="42">
        <f t="shared" si="76"/>
        <v>0</v>
      </c>
      <c r="K148" s="33">
        <f t="shared" si="64"/>
        <v>95100</v>
      </c>
      <c r="L148" s="33">
        <f t="shared" si="77"/>
        <v>22944</v>
      </c>
      <c r="M148" s="32">
        <f t="shared" ref="M148:M211" si="95">MAX(0,K148-L148)</f>
        <v>72156</v>
      </c>
      <c r="N148" s="33">
        <f t="shared" si="78"/>
        <v>0</v>
      </c>
      <c r="O148" s="34">
        <f t="shared" si="65"/>
        <v>72156</v>
      </c>
      <c r="P148" s="32">
        <f t="shared" si="79"/>
        <v>0</v>
      </c>
      <c r="Q148" s="33">
        <f t="shared" si="80"/>
        <v>0</v>
      </c>
      <c r="R148" s="33">
        <f t="shared" si="81"/>
        <v>21756</v>
      </c>
      <c r="S148" s="33">
        <f t="shared" si="82"/>
        <v>38000</v>
      </c>
      <c r="T148" s="33">
        <f t="shared" si="83"/>
        <v>12400</v>
      </c>
      <c r="U148" s="4">
        <f t="shared" si="84"/>
        <v>0</v>
      </c>
      <c r="V148" s="38">
        <f t="shared" si="85"/>
        <v>0</v>
      </c>
      <c r="W148" s="39">
        <f t="shared" si="86"/>
        <v>0</v>
      </c>
      <c r="X148" s="4">
        <f t="shared" si="87"/>
        <v>0</v>
      </c>
      <c r="Y148" s="4">
        <f t="shared" si="88"/>
        <v>4786.32</v>
      </c>
      <c r="Z148" s="4">
        <f t="shared" si="89"/>
        <v>4560</v>
      </c>
      <c r="AA148" s="4">
        <f t="shared" si="90"/>
        <v>1240</v>
      </c>
      <c r="AB148" s="4">
        <f t="shared" si="91"/>
        <v>0</v>
      </c>
      <c r="AC148" s="38">
        <f t="shared" ref="AC148:AC211" si="96">SUM(W148:AB148)</f>
        <v>10586.32</v>
      </c>
      <c r="AD148" s="40">
        <f t="shared" si="92"/>
        <v>0.23320000000000074</v>
      </c>
    </row>
    <row r="149" spans="1:30" x14ac:dyDescent="0.3">
      <c r="A149" s="32">
        <f t="shared" si="93"/>
        <v>65000</v>
      </c>
      <c r="B149" s="33">
        <f t="shared" si="70"/>
        <v>0</v>
      </c>
      <c r="C149" s="33">
        <f t="shared" si="71"/>
        <v>65000</v>
      </c>
      <c r="D149" s="34">
        <f t="shared" si="72"/>
        <v>0</v>
      </c>
      <c r="E149" s="32">
        <f t="shared" si="73"/>
        <v>36000</v>
      </c>
      <c r="F149" s="33">
        <f t="shared" si="94"/>
        <v>83000</v>
      </c>
      <c r="G149" s="33">
        <f t="shared" si="74"/>
        <v>4500</v>
      </c>
      <c r="H149" s="33">
        <f t="shared" si="75"/>
        <v>26100</v>
      </c>
      <c r="I149" s="33">
        <f t="shared" si="66"/>
        <v>30600</v>
      </c>
      <c r="J149" s="42">
        <f t="shared" si="76"/>
        <v>0</v>
      </c>
      <c r="K149" s="33">
        <f t="shared" ref="K149:K212" si="97">C149+D149+I149</f>
        <v>95600</v>
      </c>
      <c r="L149" s="33">
        <f t="shared" si="77"/>
        <v>22914</v>
      </c>
      <c r="M149" s="32">
        <f t="shared" si="95"/>
        <v>72686</v>
      </c>
      <c r="N149" s="33">
        <f t="shared" si="78"/>
        <v>0</v>
      </c>
      <c r="O149" s="34">
        <f t="shared" si="65"/>
        <v>72686</v>
      </c>
      <c r="P149" s="32">
        <f t="shared" si="79"/>
        <v>0</v>
      </c>
      <c r="Q149" s="33">
        <f t="shared" si="80"/>
        <v>0</v>
      </c>
      <c r="R149" s="33">
        <f t="shared" si="81"/>
        <v>22286</v>
      </c>
      <c r="S149" s="33">
        <f t="shared" si="82"/>
        <v>38000</v>
      </c>
      <c r="T149" s="33">
        <f t="shared" si="83"/>
        <v>12400</v>
      </c>
      <c r="U149" s="4">
        <f t="shared" si="84"/>
        <v>0</v>
      </c>
      <c r="V149" s="38">
        <f t="shared" si="85"/>
        <v>0</v>
      </c>
      <c r="W149" s="39">
        <f t="shared" si="86"/>
        <v>0</v>
      </c>
      <c r="X149" s="4">
        <f t="shared" si="87"/>
        <v>0</v>
      </c>
      <c r="Y149" s="4">
        <f t="shared" si="88"/>
        <v>4902.92</v>
      </c>
      <c r="Z149" s="4">
        <f t="shared" si="89"/>
        <v>4560</v>
      </c>
      <c r="AA149" s="4">
        <f t="shared" si="90"/>
        <v>1240</v>
      </c>
      <c r="AB149" s="4">
        <f t="shared" si="91"/>
        <v>0</v>
      </c>
      <c r="AC149" s="38">
        <f t="shared" si="96"/>
        <v>10702.92</v>
      </c>
      <c r="AD149" s="40">
        <f t="shared" si="92"/>
        <v>0.23320000000000074</v>
      </c>
    </row>
    <row r="150" spans="1:30" x14ac:dyDescent="0.3">
      <c r="A150" s="32">
        <f t="shared" si="93"/>
        <v>65500</v>
      </c>
      <c r="B150" s="33">
        <f t="shared" si="70"/>
        <v>0</v>
      </c>
      <c r="C150" s="33">
        <f t="shared" si="71"/>
        <v>65500</v>
      </c>
      <c r="D150" s="34">
        <f t="shared" si="72"/>
        <v>0</v>
      </c>
      <c r="E150" s="32">
        <f t="shared" si="73"/>
        <v>36000</v>
      </c>
      <c r="F150" s="33">
        <f t="shared" si="94"/>
        <v>83500</v>
      </c>
      <c r="G150" s="33">
        <f t="shared" si="74"/>
        <v>4500</v>
      </c>
      <c r="H150" s="33">
        <f t="shared" si="75"/>
        <v>26100</v>
      </c>
      <c r="I150" s="33">
        <f t="shared" si="66"/>
        <v>30600</v>
      </c>
      <c r="J150" s="42">
        <f t="shared" si="76"/>
        <v>0</v>
      </c>
      <c r="K150" s="33">
        <f t="shared" si="97"/>
        <v>96100</v>
      </c>
      <c r="L150" s="33">
        <f t="shared" si="77"/>
        <v>22884</v>
      </c>
      <c r="M150" s="32">
        <f t="shared" si="95"/>
        <v>73216</v>
      </c>
      <c r="N150" s="33">
        <f t="shared" si="78"/>
        <v>0</v>
      </c>
      <c r="O150" s="34">
        <f t="shared" si="65"/>
        <v>73216</v>
      </c>
      <c r="P150" s="32">
        <f t="shared" si="79"/>
        <v>0</v>
      </c>
      <c r="Q150" s="33">
        <f t="shared" si="80"/>
        <v>0</v>
      </c>
      <c r="R150" s="33">
        <f t="shared" si="81"/>
        <v>22816</v>
      </c>
      <c r="S150" s="33">
        <f t="shared" si="82"/>
        <v>38000</v>
      </c>
      <c r="T150" s="33">
        <f t="shared" si="83"/>
        <v>12400</v>
      </c>
      <c r="U150" s="4">
        <f t="shared" si="84"/>
        <v>0</v>
      </c>
      <c r="V150" s="38">
        <f t="shared" si="85"/>
        <v>0</v>
      </c>
      <c r="W150" s="39">
        <f t="shared" si="86"/>
        <v>0</v>
      </c>
      <c r="X150" s="4">
        <f t="shared" si="87"/>
        <v>0</v>
      </c>
      <c r="Y150" s="4">
        <f t="shared" si="88"/>
        <v>5019.5200000000004</v>
      </c>
      <c r="Z150" s="4">
        <f t="shared" si="89"/>
        <v>4560</v>
      </c>
      <c r="AA150" s="4">
        <f t="shared" si="90"/>
        <v>1240</v>
      </c>
      <c r="AB150" s="4">
        <f t="shared" si="91"/>
        <v>0</v>
      </c>
      <c r="AC150" s="38">
        <f t="shared" si="96"/>
        <v>10819.52</v>
      </c>
      <c r="AD150" s="40">
        <f t="shared" si="92"/>
        <v>0.23319999999999708</v>
      </c>
    </row>
    <row r="151" spans="1:30" x14ac:dyDescent="0.3">
      <c r="A151" s="32">
        <f t="shared" si="93"/>
        <v>66000</v>
      </c>
      <c r="B151" s="33">
        <f t="shared" si="70"/>
        <v>0</v>
      </c>
      <c r="C151" s="33">
        <f t="shared" si="71"/>
        <v>66000</v>
      </c>
      <c r="D151" s="34">
        <f t="shared" si="72"/>
        <v>0</v>
      </c>
      <c r="E151" s="32">
        <f t="shared" si="73"/>
        <v>36000</v>
      </c>
      <c r="F151" s="33">
        <f t="shared" si="94"/>
        <v>84000</v>
      </c>
      <c r="G151" s="33">
        <f t="shared" si="74"/>
        <v>4500</v>
      </c>
      <c r="H151" s="33">
        <f t="shared" si="75"/>
        <v>26100</v>
      </c>
      <c r="I151" s="33">
        <f t="shared" si="66"/>
        <v>30600</v>
      </c>
      <c r="J151" s="42">
        <f t="shared" si="76"/>
        <v>0</v>
      </c>
      <c r="K151" s="33">
        <f t="shared" si="97"/>
        <v>96600</v>
      </c>
      <c r="L151" s="33">
        <f t="shared" si="77"/>
        <v>22854</v>
      </c>
      <c r="M151" s="32">
        <f t="shared" si="95"/>
        <v>73746</v>
      </c>
      <c r="N151" s="33">
        <f t="shared" si="78"/>
        <v>0</v>
      </c>
      <c r="O151" s="34">
        <f t="shared" ref="O151:O214" si="98">M151-N151</f>
        <v>73746</v>
      </c>
      <c r="P151" s="32">
        <f t="shared" si="79"/>
        <v>0</v>
      </c>
      <c r="Q151" s="33">
        <f t="shared" si="80"/>
        <v>0</v>
      </c>
      <c r="R151" s="33">
        <f t="shared" si="81"/>
        <v>23346</v>
      </c>
      <c r="S151" s="33">
        <f t="shared" si="82"/>
        <v>38000</v>
      </c>
      <c r="T151" s="33">
        <f t="shared" si="83"/>
        <v>12400</v>
      </c>
      <c r="U151" s="4">
        <f t="shared" si="84"/>
        <v>0</v>
      </c>
      <c r="V151" s="38">
        <f t="shared" si="85"/>
        <v>0</v>
      </c>
      <c r="W151" s="39">
        <f t="shared" si="86"/>
        <v>0</v>
      </c>
      <c r="X151" s="4">
        <f t="shared" si="87"/>
        <v>0</v>
      </c>
      <c r="Y151" s="4">
        <f t="shared" si="88"/>
        <v>5136.12</v>
      </c>
      <c r="Z151" s="4">
        <f t="shared" si="89"/>
        <v>4560</v>
      </c>
      <c r="AA151" s="4">
        <f t="shared" si="90"/>
        <v>1240</v>
      </c>
      <c r="AB151" s="4">
        <f t="shared" si="91"/>
        <v>0</v>
      </c>
      <c r="AC151" s="38">
        <f t="shared" si="96"/>
        <v>10936.119999999999</v>
      </c>
      <c r="AD151" s="40">
        <f t="shared" si="92"/>
        <v>0.23320000000000438</v>
      </c>
    </row>
    <row r="152" spans="1:30" x14ac:dyDescent="0.3">
      <c r="A152" s="32">
        <f t="shared" si="93"/>
        <v>66500</v>
      </c>
      <c r="B152" s="33">
        <f t="shared" si="70"/>
        <v>0</v>
      </c>
      <c r="C152" s="33">
        <f t="shared" si="71"/>
        <v>66500</v>
      </c>
      <c r="D152" s="34">
        <f t="shared" si="72"/>
        <v>0</v>
      </c>
      <c r="E152" s="32">
        <f t="shared" si="73"/>
        <v>36000</v>
      </c>
      <c r="F152" s="33">
        <f t="shared" si="94"/>
        <v>84500</v>
      </c>
      <c r="G152" s="33">
        <f t="shared" si="74"/>
        <v>4500</v>
      </c>
      <c r="H152" s="33">
        <f t="shared" si="75"/>
        <v>26100</v>
      </c>
      <c r="I152" s="33">
        <f t="shared" ref="I152:I215" si="99">G152+H152</f>
        <v>30600</v>
      </c>
      <c r="J152" s="42">
        <f t="shared" si="76"/>
        <v>0</v>
      </c>
      <c r="K152" s="33">
        <f t="shared" si="97"/>
        <v>97100</v>
      </c>
      <c r="L152" s="33">
        <f t="shared" si="77"/>
        <v>22824</v>
      </c>
      <c r="M152" s="32">
        <f t="shared" si="95"/>
        <v>74276</v>
      </c>
      <c r="N152" s="33">
        <f t="shared" si="78"/>
        <v>0</v>
      </c>
      <c r="O152" s="34">
        <f t="shared" si="98"/>
        <v>74276</v>
      </c>
      <c r="P152" s="32">
        <f t="shared" si="79"/>
        <v>0</v>
      </c>
      <c r="Q152" s="33">
        <f t="shared" si="80"/>
        <v>0</v>
      </c>
      <c r="R152" s="33">
        <f t="shared" si="81"/>
        <v>23876</v>
      </c>
      <c r="S152" s="33">
        <f t="shared" si="82"/>
        <v>38000</v>
      </c>
      <c r="T152" s="33">
        <f t="shared" si="83"/>
        <v>12400</v>
      </c>
      <c r="U152" s="4">
        <f t="shared" si="84"/>
        <v>0</v>
      </c>
      <c r="V152" s="38">
        <f t="shared" si="85"/>
        <v>0</v>
      </c>
      <c r="W152" s="39">
        <f t="shared" si="86"/>
        <v>0</v>
      </c>
      <c r="X152" s="4">
        <f t="shared" si="87"/>
        <v>0</v>
      </c>
      <c r="Y152" s="4">
        <f t="shared" si="88"/>
        <v>5252.72</v>
      </c>
      <c r="Z152" s="4">
        <f t="shared" si="89"/>
        <v>4560</v>
      </c>
      <c r="AA152" s="4">
        <f t="shared" si="90"/>
        <v>1240</v>
      </c>
      <c r="AB152" s="4">
        <f t="shared" si="91"/>
        <v>0</v>
      </c>
      <c r="AC152" s="38">
        <f t="shared" si="96"/>
        <v>11052.720000000001</v>
      </c>
      <c r="AD152" s="40">
        <f t="shared" si="92"/>
        <v>0.23319999999999708</v>
      </c>
    </row>
    <row r="153" spans="1:30" x14ac:dyDescent="0.3">
      <c r="A153" s="32">
        <f t="shared" si="93"/>
        <v>67000</v>
      </c>
      <c r="B153" s="33">
        <f t="shared" si="70"/>
        <v>0</v>
      </c>
      <c r="C153" s="33">
        <f t="shared" si="71"/>
        <v>67000</v>
      </c>
      <c r="D153" s="34">
        <f t="shared" si="72"/>
        <v>0</v>
      </c>
      <c r="E153" s="32">
        <f t="shared" si="73"/>
        <v>36000</v>
      </c>
      <c r="F153" s="33">
        <f t="shared" si="94"/>
        <v>85000</v>
      </c>
      <c r="G153" s="33">
        <f t="shared" si="74"/>
        <v>4500</v>
      </c>
      <c r="H153" s="33">
        <f t="shared" si="75"/>
        <v>26100</v>
      </c>
      <c r="I153" s="33">
        <f t="shared" si="99"/>
        <v>30600</v>
      </c>
      <c r="J153" s="42">
        <f t="shared" si="76"/>
        <v>0</v>
      </c>
      <c r="K153" s="33">
        <f t="shared" si="97"/>
        <v>97600</v>
      </c>
      <c r="L153" s="33">
        <f t="shared" si="77"/>
        <v>22794</v>
      </c>
      <c r="M153" s="32">
        <f t="shared" si="95"/>
        <v>74806</v>
      </c>
      <c r="N153" s="33">
        <f t="shared" si="78"/>
        <v>0</v>
      </c>
      <c r="O153" s="34">
        <f t="shared" si="98"/>
        <v>74806</v>
      </c>
      <c r="P153" s="32">
        <f t="shared" si="79"/>
        <v>0</v>
      </c>
      <c r="Q153" s="33">
        <f t="shared" si="80"/>
        <v>0</v>
      </c>
      <c r="R153" s="33">
        <f t="shared" si="81"/>
        <v>24406</v>
      </c>
      <c r="S153" s="33">
        <f t="shared" si="82"/>
        <v>38000</v>
      </c>
      <c r="T153" s="33">
        <f t="shared" si="83"/>
        <v>12400</v>
      </c>
      <c r="U153" s="4">
        <f t="shared" si="84"/>
        <v>0</v>
      </c>
      <c r="V153" s="38">
        <f t="shared" si="85"/>
        <v>0</v>
      </c>
      <c r="W153" s="39">
        <f t="shared" si="86"/>
        <v>0</v>
      </c>
      <c r="X153" s="4">
        <f t="shared" si="87"/>
        <v>0</v>
      </c>
      <c r="Y153" s="4">
        <f t="shared" si="88"/>
        <v>5369.32</v>
      </c>
      <c r="Z153" s="4">
        <f t="shared" si="89"/>
        <v>4560</v>
      </c>
      <c r="AA153" s="4">
        <f t="shared" si="90"/>
        <v>1240</v>
      </c>
      <c r="AB153" s="4">
        <f t="shared" si="91"/>
        <v>0</v>
      </c>
      <c r="AC153" s="38">
        <f t="shared" si="96"/>
        <v>11169.32</v>
      </c>
      <c r="AD153" s="40">
        <f t="shared" si="92"/>
        <v>0.23320000000000074</v>
      </c>
    </row>
    <row r="154" spans="1:30" x14ac:dyDescent="0.3">
      <c r="A154" s="32">
        <f t="shared" si="93"/>
        <v>67500</v>
      </c>
      <c r="B154" s="33">
        <f t="shared" si="70"/>
        <v>0</v>
      </c>
      <c r="C154" s="33">
        <f t="shared" si="71"/>
        <v>67500</v>
      </c>
      <c r="D154" s="34">
        <f t="shared" si="72"/>
        <v>0</v>
      </c>
      <c r="E154" s="32">
        <f t="shared" si="73"/>
        <v>36000</v>
      </c>
      <c r="F154" s="33">
        <f t="shared" si="94"/>
        <v>85500</v>
      </c>
      <c r="G154" s="33">
        <f t="shared" si="74"/>
        <v>4500</v>
      </c>
      <c r="H154" s="33">
        <f t="shared" si="75"/>
        <v>26100</v>
      </c>
      <c r="I154" s="33">
        <f t="shared" si="99"/>
        <v>30600</v>
      </c>
      <c r="J154" s="42">
        <f t="shared" si="76"/>
        <v>0</v>
      </c>
      <c r="K154" s="33">
        <f t="shared" si="97"/>
        <v>98100</v>
      </c>
      <c r="L154" s="33">
        <f t="shared" si="77"/>
        <v>22764</v>
      </c>
      <c r="M154" s="32">
        <f t="shared" si="95"/>
        <v>75336</v>
      </c>
      <c r="N154" s="33">
        <f t="shared" si="78"/>
        <v>0</v>
      </c>
      <c r="O154" s="34">
        <f t="shared" si="98"/>
        <v>75336</v>
      </c>
      <c r="P154" s="32">
        <f t="shared" si="79"/>
        <v>0</v>
      </c>
      <c r="Q154" s="33">
        <f t="shared" si="80"/>
        <v>0</v>
      </c>
      <c r="R154" s="33">
        <f t="shared" si="81"/>
        <v>24936</v>
      </c>
      <c r="S154" s="33">
        <f t="shared" si="82"/>
        <v>38000</v>
      </c>
      <c r="T154" s="33">
        <f t="shared" si="83"/>
        <v>12400</v>
      </c>
      <c r="U154" s="4">
        <f t="shared" si="84"/>
        <v>0</v>
      </c>
      <c r="V154" s="38">
        <f t="shared" si="85"/>
        <v>0</v>
      </c>
      <c r="W154" s="39">
        <f t="shared" si="86"/>
        <v>0</v>
      </c>
      <c r="X154" s="4">
        <f t="shared" si="87"/>
        <v>0</v>
      </c>
      <c r="Y154" s="4">
        <f t="shared" si="88"/>
        <v>5485.92</v>
      </c>
      <c r="Z154" s="4">
        <f t="shared" si="89"/>
        <v>4560</v>
      </c>
      <c r="AA154" s="4">
        <f t="shared" si="90"/>
        <v>1240</v>
      </c>
      <c r="AB154" s="4">
        <f t="shared" si="91"/>
        <v>0</v>
      </c>
      <c r="AC154" s="38">
        <f t="shared" si="96"/>
        <v>11285.92</v>
      </c>
      <c r="AD154" s="40">
        <f t="shared" si="92"/>
        <v>0.23320000000000074</v>
      </c>
    </row>
    <row r="155" spans="1:30" x14ac:dyDescent="0.3">
      <c r="A155" s="32">
        <f t="shared" si="93"/>
        <v>68000</v>
      </c>
      <c r="B155" s="33">
        <f t="shared" si="70"/>
        <v>0</v>
      </c>
      <c r="C155" s="33">
        <f t="shared" si="71"/>
        <v>68000</v>
      </c>
      <c r="D155" s="34">
        <f t="shared" si="72"/>
        <v>0</v>
      </c>
      <c r="E155" s="32">
        <f t="shared" si="73"/>
        <v>36000</v>
      </c>
      <c r="F155" s="33">
        <f t="shared" si="94"/>
        <v>86000</v>
      </c>
      <c r="G155" s="33">
        <f t="shared" si="74"/>
        <v>4500</v>
      </c>
      <c r="H155" s="33">
        <f t="shared" si="75"/>
        <v>26100</v>
      </c>
      <c r="I155" s="33">
        <f t="shared" si="99"/>
        <v>30600</v>
      </c>
      <c r="J155" s="42">
        <f t="shared" si="76"/>
        <v>0</v>
      </c>
      <c r="K155" s="33">
        <f t="shared" si="97"/>
        <v>98600</v>
      </c>
      <c r="L155" s="33">
        <f t="shared" si="77"/>
        <v>22734</v>
      </c>
      <c r="M155" s="32">
        <f t="shared" si="95"/>
        <v>75866</v>
      </c>
      <c r="N155" s="33">
        <f t="shared" si="78"/>
        <v>0</v>
      </c>
      <c r="O155" s="34">
        <f t="shared" si="98"/>
        <v>75866</v>
      </c>
      <c r="P155" s="32">
        <f t="shared" si="79"/>
        <v>0</v>
      </c>
      <c r="Q155" s="33">
        <f t="shared" si="80"/>
        <v>0</v>
      </c>
      <c r="R155" s="33">
        <f t="shared" si="81"/>
        <v>25466</v>
      </c>
      <c r="S155" s="33">
        <f t="shared" si="82"/>
        <v>38000</v>
      </c>
      <c r="T155" s="33">
        <f t="shared" si="83"/>
        <v>12400</v>
      </c>
      <c r="U155" s="4">
        <f t="shared" si="84"/>
        <v>0</v>
      </c>
      <c r="V155" s="38">
        <f t="shared" si="85"/>
        <v>0</v>
      </c>
      <c r="W155" s="39">
        <f t="shared" si="86"/>
        <v>0</v>
      </c>
      <c r="X155" s="4">
        <f t="shared" si="87"/>
        <v>0</v>
      </c>
      <c r="Y155" s="4">
        <f t="shared" si="88"/>
        <v>5602.52</v>
      </c>
      <c r="Z155" s="4">
        <f t="shared" si="89"/>
        <v>4560</v>
      </c>
      <c r="AA155" s="4">
        <f t="shared" si="90"/>
        <v>1240</v>
      </c>
      <c r="AB155" s="4">
        <f t="shared" si="91"/>
        <v>0</v>
      </c>
      <c r="AC155" s="38">
        <f t="shared" si="96"/>
        <v>11402.52</v>
      </c>
      <c r="AD155" s="40">
        <f t="shared" si="92"/>
        <v>0.23319999999999708</v>
      </c>
    </row>
    <row r="156" spans="1:30" x14ac:dyDescent="0.3">
      <c r="A156" s="32">
        <f t="shared" si="93"/>
        <v>68500</v>
      </c>
      <c r="B156" s="33">
        <f t="shared" si="70"/>
        <v>0</v>
      </c>
      <c r="C156" s="33">
        <f t="shared" si="71"/>
        <v>68500</v>
      </c>
      <c r="D156" s="34">
        <f t="shared" si="72"/>
        <v>0</v>
      </c>
      <c r="E156" s="32">
        <f t="shared" si="73"/>
        <v>36000</v>
      </c>
      <c r="F156" s="33">
        <f t="shared" si="94"/>
        <v>86500</v>
      </c>
      <c r="G156" s="33">
        <f t="shared" si="74"/>
        <v>4500</v>
      </c>
      <c r="H156" s="33">
        <f t="shared" si="75"/>
        <v>26100</v>
      </c>
      <c r="I156" s="33">
        <f t="shared" si="99"/>
        <v>30600</v>
      </c>
      <c r="J156" s="42">
        <f t="shared" si="76"/>
        <v>0</v>
      </c>
      <c r="K156" s="33">
        <f t="shared" si="97"/>
        <v>99100</v>
      </c>
      <c r="L156" s="33">
        <f t="shared" si="77"/>
        <v>22704</v>
      </c>
      <c r="M156" s="32">
        <f t="shared" si="95"/>
        <v>76396</v>
      </c>
      <c r="N156" s="33">
        <f t="shared" si="78"/>
        <v>0</v>
      </c>
      <c r="O156" s="34">
        <f t="shared" si="98"/>
        <v>76396</v>
      </c>
      <c r="P156" s="32">
        <f t="shared" si="79"/>
        <v>0</v>
      </c>
      <c r="Q156" s="33">
        <f t="shared" si="80"/>
        <v>0</v>
      </c>
      <c r="R156" s="33">
        <f t="shared" si="81"/>
        <v>25996</v>
      </c>
      <c r="S156" s="33">
        <f t="shared" si="82"/>
        <v>38000</v>
      </c>
      <c r="T156" s="33">
        <f t="shared" si="83"/>
        <v>12400</v>
      </c>
      <c r="U156" s="4">
        <f t="shared" si="84"/>
        <v>0</v>
      </c>
      <c r="V156" s="38">
        <f t="shared" si="85"/>
        <v>0</v>
      </c>
      <c r="W156" s="39">
        <f t="shared" si="86"/>
        <v>0</v>
      </c>
      <c r="X156" s="4">
        <f t="shared" si="87"/>
        <v>0</v>
      </c>
      <c r="Y156" s="4">
        <f t="shared" si="88"/>
        <v>5719.12</v>
      </c>
      <c r="Z156" s="4">
        <f t="shared" si="89"/>
        <v>4560</v>
      </c>
      <c r="AA156" s="4">
        <f t="shared" si="90"/>
        <v>1240</v>
      </c>
      <c r="AB156" s="4">
        <f t="shared" si="91"/>
        <v>0</v>
      </c>
      <c r="AC156" s="38">
        <f t="shared" si="96"/>
        <v>11519.119999999999</v>
      </c>
      <c r="AD156" s="40">
        <f t="shared" si="92"/>
        <v>0.23320000000000438</v>
      </c>
    </row>
    <row r="157" spans="1:30" x14ac:dyDescent="0.3">
      <c r="A157" s="32">
        <f t="shared" si="93"/>
        <v>69000</v>
      </c>
      <c r="B157" s="33">
        <f t="shared" si="70"/>
        <v>0</v>
      </c>
      <c r="C157" s="33">
        <f t="shared" si="71"/>
        <v>69000</v>
      </c>
      <c r="D157" s="34">
        <f t="shared" si="72"/>
        <v>0</v>
      </c>
      <c r="E157" s="32">
        <f t="shared" si="73"/>
        <v>36000</v>
      </c>
      <c r="F157" s="33">
        <f t="shared" si="94"/>
        <v>87000</v>
      </c>
      <c r="G157" s="33">
        <f t="shared" si="74"/>
        <v>4500</v>
      </c>
      <c r="H157" s="33">
        <f t="shared" si="75"/>
        <v>26100</v>
      </c>
      <c r="I157" s="33">
        <f t="shared" si="99"/>
        <v>30600</v>
      </c>
      <c r="J157" s="42">
        <f t="shared" si="76"/>
        <v>0</v>
      </c>
      <c r="K157" s="33">
        <f t="shared" si="97"/>
        <v>99600</v>
      </c>
      <c r="L157" s="33">
        <f t="shared" si="77"/>
        <v>22674</v>
      </c>
      <c r="M157" s="32">
        <f t="shared" si="95"/>
        <v>76926</v>
      </c>
      <c r="N157" s="33">
        <f t="shared" si="78"/>
        <v>0</v>
      </c>
      <c r="O157" s="34">
        <f t="shared" si="98"/>
        <v>76926</v>
      </c>
      <c r="P157" s="32">
        <f t="shared" si="79"/>
        <v>0</v>
      </c>
      <c r="Q157" s="33">
        <f t="shared" si="80"/>
        <v>0</v>
      </c>
      <c r="R157" s="33">
        <f t="shared" si="81"/>
        <v>26526</v>
      </c>
      <c r="S157" s="33">
        <f t="shared" si="82"/>
        <v>38000</v>
      </c>
      <c r="T157" s="33">
        <f t="shared" si="83"/>
        <v>12400</v>
      </c>
      <c r="U157" s="4">
        <f t="shared" si="84"/>
        <v>0</v>
      </c>
      <c r="V157" s="38">
        <f t="shared" si="85"/>
        <v>0</v>
      </c>
      <c r="W157" s="39">
        <f t="shared" si="86"/>
        <v>0</v>
      </c>
      <c r="X157" s="4">
        <f t="shared" si="87"/>
        <v>0</v>
      </c>
      <c r="Y157" s="4">
        <f t="shared" si="88"/>
        <v>5835.72</v>
      </c>
      <c r="Z157" s="4">
        <f t="shared" si="89"/>
        <v>4560</v>
      </c>
      <c r="AA157" s="4">
        <f t="shared" si="90"/>
        <v>1240</v>
      </c>
      <c r="AB157" s="4">
        <f t="shared" si="91"/>
        <v>0</v>
      </c>
      <c r="AC157" s="38">
        <f t="shared" si="96"/>
        <v>11635.720000000001</v>
      </c>
      <c r="AD157" s="40">
        <f t="shared" si="92"/>
        <v>0.23319999999999708</v>
      </c>
    </row>
    <row r="158" spans="1:30" x14ac:dyDescent="0.3">
      <c r="A158" s="32">
        <f t="shared" si="93"/>
        <v>69500</v>
      </c>
      <c r="B158" s="33">
        <f t="shared" si="70"/>
        <v>0</v>
      </c>
      <c r="C158" s="33">
        <f t="shared" si="71"/>
        <v>69500</v>
      </c>
      <c r="D158" s="34">
        <f t="shared" si="72"/>
        <v>0</v>
      </c>
      <c r="E158" s="32">
        <f t="shared" si="73"/>
        <v>36000</v>
      </c>
      <c r="F158" s="33">
        <f t="shared" si="94"/>
        <v>87500</v>
      </c>
      <c r="G158" s="33">
        <f t="shared" si="74"/>
        <v>4500</v>
      </c>
      <c r="H158" s="33">
        <f t="shared" si="75"/>
        <v>26100</v>
      </c>
      <c r="I158" s="33">
        <f t="shared" si="99"/>
        <v>30600</v>
      </c>
      <c r="J158" s="42">
        <f t="shared" si="76"/>
        <v>0</v>
      </c>
      <c r="K158" s="33">
        <f t="shared" si="97"/>
        <v>100100</v>
      </c>
      <c r="L158" s="33">
        <f t="shared" si="77"/>
        <v>22644</v>
      </c>
      <c r="M158" s="32">
        <f t="shared" si="95"/>
        <v>77456</v>
      </c>
      <c r="N158" s="33">
        <f t="shared" si="78"/>
        <v>0</v>
      </c>
      <c r="O158" s="34">
        <f t="shared" si="98"/>
        <v>77456</v>
      </c>
      <c r="P158" s="32">
        <f t="shared" si="79"/>
        <v>0</v>
      </c>
      <c r="Q158" s="33">
        <f t="shared" si="80"/>
        <v>0</v>
      </c>
      <c r="R158" s="33">
        <f t="shared" si="81"/>
        <v>27056</v>
      </c>
      <c r="S158" s="33">
        <f t="shared" si="82"/>
        <v>38000</v>
      </c>
      <c r="T158" s="33">
        <f t="shared" si="83"/>
        <v>12400</v>
      </c>
      <c r="U158" s="4">
        <f t="shared" si="84"/>
        <v>0</v>
      </c>
      <c r="V158" s="38">
        <f t="shared" si="85"/>
        <v>0</v>
      </c>
      <c r="W158" s="39">
        <f t="shared" si="86"/>
        <v>0</v>
      </c>
      <c r="X158" s="4">
        <f t="shared" si="87"/>
        <v>0</v>
      </c>
      <c r="Y158" s="4">
        <f t="shared" si="88"/>
        <v>5952.32</v>
      </c>
      <c r="Z158" s="4">
        <f t="shared" si="89"/>
        <v>4560</v>
      </c>
      <c r="AA158" s="4">
        <f t="shared" si="90"/>
        <v>1240</v>
      </c>
      <c r="AB158" s="4">
        <f t="shared" si="91"/>
        <v>0</v>
      </c>
      <c r="AC158" s="38">
        <f t="shared" si="96"/>
        <v>11752.32</v>
      </c>
      <c r="AD158" s="40">
        <f t="shared" si="92"/>
        <v>0.23320000000000074</v>
      </c>
    </row>
    <row r="159" spans="1:30" x14ac:dyDescent="0.3">
      <c r="A159" s="32">
        <f t="shared" si="93"/>
        <v>70000</v>
      </c>
      <c r="B159" s="33">
        <f t="shared" si="70"/>
        <v>0</v>
      </c>
      <c r="C159" s="33">
        <f t="shared" si="71"/>
        <v>70000</v>
      </c>
      <c r="D159" s="34">
        <f t="shared" si="72"/>
        <v>0</v>
      </c>
      <c r="E159" s="32">
        <f t="shared" si="73"/>
        <v>36000</v>
      </c>
      <c r="F159" s="33">
        <f t="shared" si="94"/>
        <v>88000</v>
      </c>
      <c r="G159" s="33">
        <f t="shared" si="74"/>
        <v>4500</v>
      </c>
      <c r="H159" s="33">
        <f t="shared" si="75"/>
        <v>26100</v>
      </c>
      <c r="I159" s="33">
        <f t="shared" si="99"/>
        <v>30600</v>
      </c>
      <c r="J159" s="42">
        <f t="shared" si="76"/>
        <v>0</v>
      </c>
      <c r="K159" s="33">
        <f t="shared" si="97"/>
        <v>100600</v>
      </c>
      <c r="L159" s="33">
        <f t="shared" si="77"/>
        <v>22614</v>
      </c>
      <c r="M159" s="32">
        <f t="shared" si="95"/>
        <v>77986</v>
      </c>
      <c r="N159" s="33">
        <f t="shared" si="78"/>
        <v>0</v>
      </c>
      <c r="O159" s="34">
        <f t="shared" si="98"/>
        <v>77986</v>
      </c>
      <c r="P159" s="32">
        <f t="shared" si="79"/>
        <v>0</v>
      </c>
      <c r="Q159" s="33">
        <f t="shared" si="80"/>
        <v>0</v>
      </c>
      <c r="R159" s="33">
        <f t="shared" si="81"/>
        <v>27586</v>
      </c>
      <c r="S159" s="33">
        <f t="shared" si="82"/>
        <v>38000</v>
      </c>
      <c r="T159" s="33">
        <f t="shared" si="83"/>
        <v>12400</v>
      </c>
      <c r="U159" s="4">
        <f t="shared" si="84"/>
        <v>0</v>
      </c>
      <c r="V159" s="38">
        <f t="shared" si="85"/>
        <v>0</v>
      </c>
      <c r="W159" s="39">
        <f t="shared" si="86"/>
        <v>0</v>
      </c>
      <c r="X159" s="4">
        <f t="shared" si="87"/>
        <v>0</v>
      </c>
      <c r="Y159" s="4">
        <f t="shared" si="88"/>
        <v>6068.92</v>
      </c>
      <c r="Z159" s="4">
        <f t="shared" si="89"/>
        <v>4560</v>
      </c>
      <c r="AA159" s="4">
        <f t="shared" si="90"/>
        <v>1240</v>
      </c>
      <c r="AB159" s="4">
        <f t="shared" si="91"/>
        <v>0</v>
      </c>
      <c r="AC159" s="38">
        <f t="shared" si="96"/>
        <v>11868.92</v>
      </c>
      <c r="AD159" s="40">
        <f t="shared" si="92"/>
        <v>0.23320000000000074</v>
      </c>
    </row>
    <row r="160" spans="1:30" x14ac:dyDescent="0.3">
      <c r="A160" s="32">
        <f t="shared" si="93"/>
        <v>70500</v>
      </c>
      <c r="B160" s="33">
        <f t="shared" si="70"/>
        <v>0</v>
      </c>
      <c r="C160" s="33">
        <f t="shared" si="71"/>
        <v>70500</v>
      </c>
      <c r="D160" s="34">
        <f t="shared" si="72"/>
        <v>0</v>
      </c>
      <c r="E160" s="32">
        <f t="shared" si="73"/>
        <v>36000</v>
      </c>
      <c r="F160" s="33">
        <f t="shared" si="94"/>
        <v>88500</v>
      </c>
      <c r="G160" s="33">
        <f t="shared" si="74"/>
        <v>4500</v>
      </c>
      <c r="H160" s="33">
        <f t="shared" si="75"/>
        <v>26100</v>
      </c>
      <c r="I160" s="33">
        <f t="shared" si="99"/>
        <v>30600</v>
      </c>
      <c r="J160" s="42">
        <f t="shared" si="76"/>
        <v>0</v>
      </c>
      <c r="K160" s="33">
        <f t="shared" si="97"/>
        <v>101100</v>
      </c>
      <c r="L160" s="33">
        <f t="shared" si="77"/>
        <v>22584</v>
      </c>
      <c r="M160" s="32">
        <f t="shared" si="95"/>
        <v>78516</v>
      </c>
      <c r="N160" s="33">
        <f t="shared" si="78"/>
        <v>0</v>
      </c>
      <c r="O160" s="34">
        <f t="shared" si="98"/>
        <v>78516</v>
      </c>
      <c r="P160" s="32">
        <f t="shared" si="79"/>
        <v>0</v>
      </c>
      <c r="Q160" s="33">
        <f t="shared" si="80"/>
        <v>0</v>
      </c>
      <c r="R160" s="33">
        <f t="shared" si="81"/>
        <v>28116</v>
      </c>
      <c r="S160" s="33">
        <f t="shared" si="82"/>
        <v>38000</v>
      </c>
      <c r="T160" s="33">
        <f t="shared" si="83"/>
        <v>12400</v>
      </c>
      <c r="U160" s="4">
        <f t="shared" si="84"/>
        <v>0</v>
      </c>
      <c r="V160" s="38">
        <f t="shared" si="85"/>
        <v>0</v>
      </c>
      <c r="W160" s="39">
        <f t="shared" si="86"/>
        <v>0</v>
      </c>
      <c r="X160" s="4">
        <f t="shared" si="87"/>
        <v>0</v>
      </c>
      <c r="Y160" s="4">
        <f t="shared" si="88"/>
        <v>6185.52</v>
      </c>
      <c r="Z160" s="4">
        <f t="shared" si="89"/>
        <v>4560</v>
      </c>
      <c r="AA160" s="4">
        <f t="shared" si="90"/>
        <v>1240</v>
      </c>
      <c r="AB160" s="4">
        <f t="shared" si="91"/>
        <v>0</v>
      </c>
      <c r="AC160" s="38">
        <f t="shared" si="96"/>
        <v>11985.52</v>
      </c>
      <c r="AD160" s="40">
        <f t="shared" si="92"/>
        <v>0.23319999999999708</v>
      </c>
    </row>
    <row r="161" spans="1:30" x14ac:dyDescent="0.3">
      <c r="A161" s="32">
        <f t="shared" si="93"/>
        <v>71000</v>
      </c>
      <c r="B161" s="33">
        <f t="shared" si="70"/>
        <v>0</v>
      </c>
      <c r="C161" s="33">
        <f t="shared" si="71"/>
        <v>71000</v>
      </c>
      <c r="D161" s="34">
        <f t="shared" si="72"/>
        <v>0</v>
      </c>
      <c r="E161" s="32">
        <f t="shared" si="73"/>
        <v>36000</v>
      </c>
      <c r="F161" s="33">
        <f t="shared" si="94"/>
        <v>89000</v>
      </c>
      <c r="G161" s="33">
        <f t="shared" si="74"/>
        <v>4500</v>
      </c>
      <c r="H161" s="33">
        <f t="shared" si="75"/>
        <v>26100</v>
      </c>
      <c r="I161" s="33">
        <f t="shared" si="99"/>
        <v>30600</v>
      </c>
      <c r="J161" s="42">
        <f t="shared" si="76"/>
        <v>0</v>
      </c>
      <c r="K161" s="33">
        <f t="shared" si="97"/>
        <v>101600</v>
      </c>
      <c r="L161" s="33">
        <f t="shared" si="77"/>
        <v>22554</v>
      </c>
      <c r="M161" s="32">
        <f t="shared" si="95"/>
        <v>79046</v>
      </c>
      <c r="N161" s="33">
        <f t="shared" si="78"/>
        <v>0</v>
      </c>
      <c r="O161" s="34">
        <f t="shared" si="98"/>
        <v>79046</v>
      </c>
      <c r="P161" s="32">
        <f t="shared" si="79"/>
        <v>0</v>
      </c>
      <c r="Q161" s="33">
        <f t="shared" si="80"/>
        <v>0</v>
      </c>
      <c r="R161" s="33">
        <f t="shared" si="81"/>
        <v>28646</v>
      </c>
      <c r="S161" s="33">
        <f t="shared" si="82"/>
        <v>38000</v>
      </c>
      <c r="T161" s="33">
        <f t="shared" si="83"/>
        <v>12400</v>
      </c>
      <c r="U161" s="4">
        <f t="shared" si="84"/>
        <v>0</v>
      </c>
      <c r="V161" s="38">
        <f t="shared" si="85"/>
        <v>0</v>
      </c>
      <c r="W161" s="39">
        <f t="shared" si="86"/>
        <v>0</v>
      </c>
      <c r="X161" s="4">
        <f t="shared" si="87"/>
        <v>0</v>
      </c>
      <c r="Y161" s="4">
        <f t="shared" si="88"/>
        <v>6302.12</v>
      </c>
      <c r="Z161" s="4">
        <f t="shared" si="89"/>
        <v>4560</v>
      </c>
      <c r="AA161" s="4">
        <f t="shared" si="90"/>
        <v>1240</v>
      </c>
      <c r="AB161" s="4">
        <f t="shared" si="91"/>
        <v>0</v>
      </c>
      <c r="AC161" s="38">
        <f t="shared" si="96"/>
        <v>12102.119999999999</v>
      </c>
      <c r="AD161" s="40">
        <f t="shared" si="92"/>
        <v>0.23320000000000438</v>
      </c>
    </row>
    <row r="162" spans="1:30" x14ac:dyDescent="0.3">
      <c r="A162" s="32">
        <f t="shared" si="93"/>
        <v>71500</v>
      </c>
      <c r="B162" s="33">
        <f t="shared" si="70"/>
        <v>0</v>
      </c>
      <c r="C162" s="33">
        <f t="shared" si="71"/>
        <v>71500</v>
      </c>
      <c r="D162" s="34">
        <f t="shared" si="72"/>
        <v>0</v>
      </c>
      <c r="E162" s="32">
        <f t="shared" si="73"/>
        <v>36000</v>
      </c>
      <c r="F162" s="33">
        <f t="shared" si="94"/>
        <v>89500</v>
      </c>
      <c r="G162" s="33">
        <f t="shared" si="74"/>
        <v>4500</v>
      </c>
      <c r="H162" s="33">
        <f t="shared" si="75"/>
        <v>26100</v>
      </c>
      <c r="I162" s="33">
        <f t="shared" si="99"/>
        <v>30600</v>
      </c>
      <c r="J162" s="42">
        <f t="shared" si="76"/>
        <v>0</v>
      </c>
      <c r="K162" s="33">
        <f t="shared" si="97"/>
        <v>102100</v>
      </c>
      <c r="L162" s="33">
        <f t="shared" si="77"/>
        <v>22524</v>
      </c>
      <c r="M162" s="32">
        <f t="shared" si="95"/>
        <v>79576</v>
      </c>
      <c r="N162" s="33">
        <f t="shared" si="78"/>
        <v>0</v>
      </c>
      <c r="O162" s="34">
        <f t="shared" si="98"/>
        <v>79576</v>
      </c>
      <c r="P162" s="32">
        <f t="shared" si="79"/>
        <v>0</v>
      </c>
      <c r="Q162" s="33">
        <f t="shared" si="80"/>
        <v>0</v>
      </c>
      <c r="R162" s="33">
        <f t="shared" si="81"/>
        <v>29176</v>
      </c>
      <c r="S162" s="33">
        <f t="shared" si="82"/>
        <v>38000</v>
      </c>
      <c r="T162" s="33">
        <f t="shared" si="83"/>
        <v>12400</v>
      </c>
      <c r="U162" s="4">
        <f t="shared" si="84"/>
        <v>0</v>
      </c>
      <c r="V162" s="38">
        <f t="shared" si="85"/>
        <v>0</v>
      </c>
      <c r="W162" s="39">
        <f t="shared" si="86"/>
        <v>0</v>
      </c>
      <c r="X162" s="4">
        <f t="shared" si="87"/>
        <v>0</v>
      </c>
      <c r="Y162" s="4">
        <f t="shared" si="88"/>
        <v>6418.72</v>
      </c>
      <c r="Z162" s="4">
        <f t="shared" si="89"/>
        <v>4560</v>
      </c>
      <c r="AA162" s="4">
        <f t="shared" si="90"/>
        <v>1240</v>
      </c>
      <c r="AB162" s="4">
        <f t="shared" si="91"/>
        <v>0</v>
      </c>
      <c r="AC162" s="38">
        <f t="shared" si="96"/>
        <v>12218.720000000001</v>
      </c>
      <c r="AD162" s="40">
        <f t="shared" si="92"/>
        <v>0.23319999999999708</v>
      </c>
    </row>
    <row r="163" spans="1:30" x14ac:dyDescent="0.3">
      <c r="A163" s="32">
        <f t="shared" si="93"/>
        <v>72000</v>
      </c>
      <c r="B163" s="33">
        <f t="shared" si="70"/>
        <v>0</v>
      </c>
      <c r="C163" s="33">
        <f t="shared" si="71"/>
        <v>72000</v>
      </c>
      <c r="D163" s="34">
        <f t="shared" si="72"/>
        <v>0</v>
      </c>
      <c r="E163" s="32">
        <f t="shared" si="73"/>
        <v>36000</v>
      </c>
      <c r="F163" s="33">
        <f t="shared" si="94"/>
        <v>90000</v>
      </c>
      <c r="G163" s="33">
        <f t="shared" si="74"/>
        <v>4500</v>
      </c>
      <c r="H163" s="33">
        <f t="shared" si="75"/>
        <v>26100</v>
      </c>
      <c r="I163" s="33">
        <f t="shared" si="99"/>
        <v>30600</v>
      </c>
      <c r="J163" s="42">
        <f t="shared" si="76"/>
        <v>0</v>
      </c>
      <c r="K163" s="33">
        <f t="shared" si="97"/>
        <v>102600</v>
      </c>
      <c r="L163" s="33">
        <f t="shared" si="77"/>
        <v>22494</v>
      </c>
      <c r="M163" s="32">
        <f t="shared" si="95"/>
        <v>80106</v>
      </c>
      <c r="N163" s="33">
        <f t="shared" si="78"/>
        <v>0</v>
      </c>
      <c r="O163" s="34">
        <f t="shared" si="98"/>
        <v>80106</v>
      </c>
      <c r="P163" s="32">
        <f t="shared" si="79"/>
        <v>0</v>
      </c>
      <c r="Q163" s="33">
        <f t="shared" si="80"/>
        <v>0</v>
      </c>
      <c r="R163" s="33">
        <f t="shared" si="81"/>
        <v>29706</v>
      </c>
      <c r="S163" s="33">
        <f t="shared" si="82"/>
        <v>38000</v>
      </c>
      <c r="T163" s="33">
        <f t="shared" si="83"/>
        <v>12400</v>
      </c>
      <c r="U163" s="4">
        <f t="shared" si="84"/>
        <v>0</v>
      </c>
      <c r="V163" s="38">
        <f t="shared" si="85"/>
        <v>0</v>
      </c>
      <c r="W163" s="39">
        <f t="shared" si="86"/>
        <v>0</v>
      </c>
      <c r="X163" s="4">
        <f t="shared" si="87"/>
        <v>0</v>
      </c>
      <c r="Y163" s="4">
        <f t="shared" si="88"/>
        <v>6535.32</v>
      </c>
      <c r="Z163" s="4">
        <f t="shared" si="89"/>
        <v>4560</v>
      </c>
      <c r="AA163" s="4">
        <f t="shared" si="90"/>
        <v>1240</v>
      </c>
      <c r="AB163" s="4">
        <f t="shared" si="91"/>
        <v>0</v>
      </c>
      <c r="AC163" s="38">
        <f t="shared" si="96"/>
        <v>12335.32</v>
      </c>
      <c r="AD163" s="40">
        <f t="shared" si="92"/>
        <v>0.23320000000000074</v>
      </c>
    </row>
    <row r="164" spans="1:30" x14ac:dyDescent="0.3">
      <c r="A164" s="32">
        <f t="shared" si="93"/>
        <v>72500</v>
      </c>
      <c r="B164" s="33">
        <f t="shared" si="70"/>
        <v>0</v>
      </c>
      <c r="C164" s="33">
        <f t="shared" si="71"/>
        <v>72500</v>
      </c>
      <c r="D164" s="34">
        <f t="shared" si="72"/>
        <v>0</v>
      </c>
      <c r="E164" s="32">
        <f t="shared" si="73"/>
        <v>36000</v>
      </c>
      <c r="F164" s="33">
        <f t="shared" si="94"/>
        <v>90500</v>
      </c>
      <c r="G164" s="33">
        <f t="shared" si="74"/>
        <v>4500</v>
      </c>
      <c r="H164" s="33">
        <f t="shared" si="75"/>
        <v>26100</v>
      </c>
      <c r="I164" s="33">
        <f t="shared" si="99"/>
        <v>30600</v>
      </c>
      <c r="J164" s="42">
        <f t="shared" si="76"/>
        <v>0</v>
      </c>
      <c r="K164" s="33">
        <f t="shared" si="97"/>
        <v>103100</v>
      </c>
      <c r="L164" s="33">
        <f t="shared" si="77"/>
        <v>22464</v>
      </c>
      <c r="M164" s="32">
        <f t="shared" si="95"/>
        <v>80636</v>
      </c>
      <c r="N164" s="33">
        <f t="shared" si="78"/>
        <v>0</v>
      </c>
      <c r="O164" s="34">
        <f t="shared" si="98"/>
        <v>80636</v>
      </c>
      <c r="P164" s="32">
        <f t="shared" si="79"/>
        <v>0</v>
      </c>
      <c r="Q164" s="33">
        <f t="shared" si="80"/>
        <v>0</v>
      </c>
      <c r="R164" s="33">
        <f t="shared" si="81"/>
        <v>30236</v>
      </c>
      <c r="S164" s="33">
        <f t="shared" si="82"/>
        <v>38000</v>
      </c>
      <c r="T164" s="33">
        <f t="shared" si="83"/>
        <v>12400</v>
      </c>
      <c r="U164" s="4">
        <f t="shared" si="84"/>
        <v>0</v>
      </c>
      <c r="V164" s="38">
        <f t="shared" si="85"/>
        <v>0</v>
      </c>
      <c r="W164" s="39">
        <f t="shared" si="86"/>
        <v>0</v>
      </c>
      <c r="X164" s="4">
        <f t="shared" si="87"/>
        <v>0</v>
      </c>
      <c r="Y164" s="4">
        <f t="shared" si="88"/>
        <v>6651.92</v>
      </c>
      <c r="Z164" s="4">
        <f t="shared" si="89"/>
        <v>4560</v>
      </c>
      <c r="AA164" s="4">
        <f t="shared" si="90"/>
        <v>1240</v>
      </c>
      <c r="AB164" s="4">
        <f t="shared" si="91"/>
        <v>0</v>
      </c>
      <c r="AC164" s="38">
        <f t="shared" si="96"/>
        <v>12451.92</v>
      </c>
      <c r="AD164" s="40">
        <f t="shared" si="92"/>
        <v>0.23320000000000074</v>
      </c>
    </row>
    <row r="165" spans="1:30" x14ac:dyDescent="0.3">
      <c r="A165" s="32">
        <f t="shared" si="93"/>
        <v>73000</v>
      </c>
      <c r="B165" s="33">
        <f t="shared" si="70"/>
        <v>0</v>
      </c>
      <c r="C165" s="33">
        <f t="shared" si="71"/>
        <v>73000</v>
      </c>
      <c r="D165" s="34">
        <f t="shared" si="72"/>
        <v>0</v>
      </c>
      <c r="E165" s="32">
        <f t="shared" si="73"/>
        <v>36000</v>
      </c>
      <c r="F165" s="33">
        <f t="shared" si="94"/>
        <v>91000</v>
      </c>
      <c r="G165" s="33">
        <f t="shared" si="74"/>
        <v>4500</v>
      </c>
      <c r="H165" s="33">
        <f t="shared" si="75"/>
        <v>26100</v>
      </c>
      <c r="I165" s="33">
        <f t="shared" si="99"/>
        <v>30600</v>
      </c>
      <c r="J165" s="42">
        <f t="shared" si="76"/>
        <v>0</v>
      </c>
      <c r="K165" s="33">
        <f t="shared" si="97"/>
        <v>103600</v>
      </c>
      <c r="L165" s="33">
        <f t="shared" si="77"/>
        <v>22434</v>
      </c>
      <c r="M165" s="32">
        <f t="shared" si="95"/>
        <v>81166</v>
      </c>
      <c r="N165" s="33">
        <f t="shared" si="78"/>
        <v>0</v>
      </c>
      <c r="O165" s="34">
        <f t="shared" si="98"/>
        <v>81166</v>
      </c>
      <c r="P165" s="32">
        <f t="shared" si="79"/>
        <v>0</v>
      </c>
      <c r="Q165" s="33">
        <f t="shared" si="80"/>
        <v>0</v>
      </c>
      <c r="R165" s="33">
        <f t="shared" si="81"/>
        <v>30766</v>
      </c>
      <c r="S165" s="33">
        <f t="shared" si="82"/>
        <v>38000</v>
      </c>
      <c r="T165" s="33">
        <f t="shared" si="83"/>
        <v>12400</v>
      </c>
      <c r="U165" s="4">
        <f t="shared" si="84"/>
        <v>0</v>
      </c>
      <c r="V165" s="38">
        <f t="shared" si="85"/>
        <v>0</v>
      </c>
      <c r="W165" s="39">
        <f t="shared" si="86"/>
        <v>0</v>
      </c>
      <c r="X165" s="4">
        <f t="shared" si="87"/>
        <v>0</v>
      </c>
      <c r="Y165" s="4">
        <f t="shared" si="88"/>
        <v>6768.52</v>
      </c>
      <c r="Z165" s="4">
        <f t="shared" si="89"/>
        <v>4560</v>
      </c>
      <c r="AA165" s="4">
        <f t="shared" si="90"/>
        <v>1240</v>
      </c>
      <c r="AB165" s="4">
        <f t="shared" si="91"/>
        <v>0</v>
      </c>
      <c r="AC165" s="38">
        <f t="shared" si="96"/>
        <v>12568.52</v>
      </c>
      <c r="AD165" s="40">
        <f t="shared" si="92"/>
        <v>0.23319999999999708</v>
      </c>
    </row>
    <row r="166" spans="1:30" x14ac:dyDescent="0.3">
      <c r="A166" s="32">
        <f t="shared" si="93"/>
        <v>73500</v>
      </c>
      <c r="B166" s="33">
        <f t="shared" si="70"/>
        <v>0</v>
      </c>
      <c r="C166" s="33">
        <f t="shared" si="71"/>
        <v>73500</v>
      </c>
      <c r="D166" s="34">
        <f t="shared" si="72"/>
        <v>0</v>
      </c>
      <c r="E166" s="32">
        <f t="shared" si="73"/>
        <v>36000</v>
      </c>
      <c r="F166" s="33">
        <f t="shared" si="94"/>
        <v>91500</v>
      </c>
      <c r="G166" s="33">
        <f t="shared" si="74"/>
        <v>4500</v>
      </c>
      <c r="H166" s="33">
        <f t="shared" si="75"/>
        <v>26100</v>
      </c>
      <c r="I166" s="33">
        <f t="shared" si="99"/>
        <v>30600</v>
      </c>
      <c r="J166" s="42">
        <f t="shared" si="76"/>
        <v>0</v>
      </c>
      <c r="K166" s="33">
        <f t="shared" si="97"/>
        <v>104100</v>
      </c>
      <c r="L166" s="33">
        <f t="shared" si="77"/>
        <v>22404</v>
      </c>
      <c r="M166" s="32">
        <f t="shared" si="95"/>
        <v>81696</v>
      </c>
      <c r="N166" s="33">
        <f t="shared" si="78"/>
        <v>0</v>
      </c>
      <c r="O166" s="34">
        <f t="shared" si="98"/>
        <v>81696</v>
      </c>
      <c r="P166" s="32">
        <f t="shared" si="79"/>
        <v>0</v>
      </c>
      <c r="Q166" s="33">
        <f t="shared" si="80"/>
        <v>0</v>
      </c>
      <c r="R166" s="33">
        <f t="shared" si="81"/>
        <v>31296</v>
      </c>
      <c r="S166" s="33">
        <f t="shared" si="82"/>
        <v>38000</v>
      </c>
      <c r="T166" s="33">
        <f t="shared" si="83"/>
        <v>12400</v>
      </c>
      <c r="U166" s="4">
        <f t="shared" si="84"/>
        <v>0</v>
      </c>
      <c r="V166" s="38">
        <f t="shared" si="85"/>
        <v>0</v>
      </c>
      <c r="W166" s="39">
        <f t="shared" si="86"/>
        <v>0</v>
      </c>
      <c r="X166" s="4">
        <f t="shared" si="87"/>
        <v>0</v>
      </c>
      <c r="Y166" s="4">
        <f t="shared" si="88"/>
        <v>6885.12</v>
      </c>
      <c r="Z166" s="4">
        <f t="shared" si="89"/>
        <v>4560</v>
      </c>
      <c r="AA166" s="4">
        <f t="shared" si="90"/>
        <v>1240</v>
      </c>
      <c r="AB166" s="4">
        <f t="shared" si="91"/>
        <v>0</v>
      </c>
      <c r="AC166" s="38">
        <f t="shared" si="96"/>
        <v>12685.119999999999</v>
      </c>
      <c r="AD166" s="40">
        <f t="shared" si="92"/>
        <v>0.23320000000000438</v>
      </c>
    </row>
    <row r="167" spans="1:30" x14ac:dyDescent="0.3">
      <c r="A167" s="32">
        <f t="shared" si="93"/>
        <v>74000</v>
      </c>
      <c r="B167" s="33">
        <f t="shared" si="70"/>
        <v>0</v>
      </c>
      <c r="C167" s="33">
        <f t="shared" si="71"/>
        <v>74000</v>
      </c>
      <c r="D167" s="34">
        <f t="shared" si="72"/>
        <v>0</v>
      </c>
      <c r="E167" s="32">
        <f t="shared" si="73"/>
        <v>36000</v>
      </c>
      <c r="F167" s="33">
        <f t="shared" si="94"/>
        <v>92000</v>
      </c>
      <c r="G167" s="33">
        <f t="shared" si="74"/>
        <v>4500</v>
      </c>
      <c r="H167" s="33">
        <f t="shared" si="75"/>
        <v>26100</v>
      </c>
      <c r="I167" s="33">
        <f t="shared" si="99"/>
        <v>30600</v>
      </c>
      <c r="J167" s="42">
        <f t="shared" si="76"/>
        <v>0</v>
      </c>
      <c r="K167" s="33">
        <f t="shared" si="97"/>
        <v>104600</v>
      </c>
      <c r="L167" s="33">
        <f t="shared" si="77"/>
        <v>22374</v>
      </c>
      <c r="M167" s="32">
        <f t="shared" si="95"/>
        <v>82226</v>
      </c>
      <c r="N167" s="33">
        <f t="shared" si="78"/>
        <v>0</v>
      </c>
      <c r="O167" s="34">
        <f t="shared" si="98"/>
        <v>82226</v>
      </c>
      <c r="P167" s="32">
        <f t="shared" si="79"/>
        <v>0</v>
      </c>
      <c r="Q167" s="33">
        <f t="shared" si="80"/>
        <v>0</v>
      </c>
      <c r="R167" s="33">
        <f t="shared" si="81"/>
        <v>31826</v>
      </c>
      <c r="S167" s="33">
        <f t="shared" si="82"/>
        <v>38000</v>
      </c>
      <c r="T167" s="33">
        <f t="shared" si="83"/>
        <v>12400</v>
      </c>
      <c r="U167" s="4">
        <f t="shared" si="84"/>
        <v>0</v>
      </c>
      <c r="V167" s="38">
        <f t="shared" si="85"/>
        <v>0</v>
      </c>
      <c r="W167" s="39">
        <f t="shared" si="86"/>
        <v>0</v>
      </c>
      <c r="X167" s="4">
        <f t="shared" si="87"/>
        <v>0</v>
      </c>
      <c r="Y167" s="4">
        <f t="shared" si="88"/>
        <v>7001.72</v>
      </c>
      <c r="Z167" s="4">
        <f t="shared" si="89"/>
        <v>4560</v>
      </c>
      <c r="AA167" s="4">
        <f t="shared" si="90"/>
        <v>1240</v>
      </c>
      <c r="AB167" s="4">
        <f t="shared" si="91"/>
        <v>0</v>
      </c>
      <c r="AC167" s="38">
        <f t="shared" si="96"/>
        <v>12801.720000000001</v>
      </c>
      <c r="AD167" s="40">
        <f t="shared" si="92"/>
        <v>0.23319999999999708</v>
      </c>
    </row>
    <row r="168" spans="1:30" x14ac:dyDescent="0.3">
      <c r="A168" s="32">
        <f t="shared" si="93"/>
        <v>74500</v>
      </c>
      <c r="B168" s="33">
        <f t="shared" si="70"/>
        <v>0</v>
      </c>
      <c r="C168" s="33">
        <f t="shared" si="71"/>
        <v>74500</v>
      </c>
      <c r="D168" s="34">
        <f t="shared" si="72"/>
        <v>0</v>
      </c>
      <c r="E168" s="32">
        <f t="shared" si="73"/>
        <v>36000</v>
      </c>
      <c r="F168" s="33">
        <f t="shared" si="94"/>
        <v>92500</v>
      </c>
      <c r="G168" s="33">
        <f t="shared" si="74"/>
        <v>4500</v>
      </c>
      <c r="H168" s="33">
        <f t="shared" si="75"/>
        <v>26100</v>
      </c>
      <c r="I168" s="33">
        <f t="shared" si="99"/>
        <v>30600</v>
      </c>
      <c r="J168" s="42">
        <f t="shared" si="76"/>
        <v>0</v>
      </c>
      <c r="K168" s="33">
        <f t="shared" si="97"/>
        <v>105100</v>
      </c>
      <c r="L168" s="33">
        <f t="shared" si="77"/>
        <v>22344</v>
      </c>
      <c r="M168" s="32">
        <f t="shared" si="95"/>
        <v>82756</v>
      </c>
      <c r="N168" s="33">
        <f t="shared" si="78"/>
        <v>0</v>
      </c>
      <c r="O168" s="34">
        <f t="shared" si="98"/>
        <v>82756</v>
      </c>
      <c r="P168" s="32">
        <f t="shared" si="79"/>
        <v>0</v>
      </c>
      <c r="Q168" s="33">
        <f t="shared" si="80"/>
        <v>0</v>
      </c>
      <c r="R168" s="33">
        <f t="shared" si="81"/>
        <v>32356</v>
      </c>
      <c r="S168" s="33">
        <f t="shared" si="82"/>
        <v>38000</v>
      </c>
      <c r="T168" s="33">
        <f t="shared" si="83"/>
        <v>12400</v>
      </c>
      <c r="U168" s="4">
        <f t="shared" si="84"/>
        <v>0</v>
      </c>
      <c r="V168" s="38">
        <f t="shared" si="85"/>
        <v>0</v>
      </c>
      <c r="W168" s="39">
        <f t="shared" si="86"/>
        <v>0</v>
      </c>
      <c r="X168" s="4">
        <f t="shared" si="87"/>
        <v>0</v>
      </c>
      <c r="Y168" s="4">
        <f t="shared" si="88"/>
        <v>7118.32</v>
      </c>
      <c r="Z168" s="4">
        <f t="shared" si="89"/>
        <v>4560</v>
      </c>
      <c r="AA168" s="4">
        <f t="shared" si="90"/>
        <v>1240</v>
      </c>
      <c r="AB168" s="4">
        <f t="shared" si="91"/>
        <v>0</v>
      </c>
      <c r="AC168" s="38">
        <f t="shared" si="96"/>
        <v>12918.32</v>
      </c>
      <c r="AD168" s="40">
        <f t="shared" si="92"/>
        <v>0.23320000000000074</v>
      </c>
    </row>
    <row r="169" spans="1:30" x14ac:dyDescent="0.3">
      <c r="A169" s="32">
        <f t="shared" si="93"/>
        <v>75000</v>
      </c>
      <c r="B169" s="33">
        <f t="shared" si="70"/>
        <v>0</v>
      </c>
      <c r="C169" s="33">
        <f t="shared" si="71"/>
        <v>75000</v>
      </c>
      <c r="D169" s="34">
        <f t="shared" si="72"/>
        <v>0</v>
      </c>
      <c r="E169" s="32">
        <f t="shared" si="73"/>
        <v>36000</v>
      </c>
      <c r="F169" s="33">
        <f t="shared" si="94"/>
        <v>93000</v>
      </c>
      <c r="G169" s="33">
        <f t="shared" si="74"/>
        <v>4500</v>
      </c>
      <c r="H169" s="33">
        <f t="shared" si="75"/>
        <v>26100</v>
      </c>
      <c r="I169" s="33">
        <f t="shared" si="99"/>
        <v>30600</v>
      </c>
      <c r="J169" s="42">
        <f t="shared" si="76"/>
        <v>0</v>
      </c>
      <c r="K169" s="33">
        <f t="shared" si="97"/>
        <v>105600</v>
      </c>
      <c r="L169" s="33">
        <f t="shared" si="77"/>
        <v>22314</v>
      </c>
      <c r="M169" s="32">
        <f t="shared" si="95"/>
        <v>83286</v>
      </c>
      <c r="N169" s="33">
        <f t="shared" si="78"/>
        <v>0</v>
      </c>
      <c r="O169" s="34">
        <f t="shared" si="98"/>
        <v>83286</v>
      </c>
      <c r="P169" s="32">
        <f t="shared" si="79"/>
        <v>0</v>
      </c>
      <c r="Q169" s="33">
        <f t="shared" si="80"/>
        <v>0</v>
      </c>
      <c r="R169" s="33">
        <f t="shared" si="81"/>
        <v>32886</v>
      </c>
      <c r="S169" s="33">
        <f t="shared" si="82"/>
        <v>38000</v>
      </c>
      <c r="T169" s="33">
        <f t="shared" si="83"/>
        <v>12400</v>
      </c>
      <c r="U169" s="4">
        <f t="shared" si="84"/>
        <v>0</v>
      </c>
      <c r="V169" s="38">
        <f t="shared" si="85"/>
        <v>0</v>
      </c>
      <c r="W169" s="39">
        <f t="shared" si="86"/>
        <v>0</v>
      </c>
      <c r="X169" s="4">
        <f t="shared" si="87"/>
        <v>0</v>
      </c>
      <c r="Y169" s="4">
        <f t="shared" si="88"/>
        <v>7234.92</v>
      </c>
      <c r="Z169" s="4">
        <f t="shared" si="89"/>
        <v>4560</v>
      </c>
      <c r="AA169" s="4">
        <f t="shared" si="90"/>
        <v>1240</v>
      </c>
      <c r="AB169" s="4">
        <f t="shared" si="91"/>
        <v>0</v>
      </c>
      <c r="AC169" s="38">
        <f t="shared" si="96"/>
        <v>13034.92</v>
      </c>
      <c r="AD169" s="40">
        <f t="shared" si="92"/>
        <v>0.23320000000000074</v>
      </c>
    </row>
    <row r="170" spans="1:30" x14ac:dyDescent="0.3">
      <c r="A170" s="32">
        <f t="shared" si="93"/>
        <v>75500</v>
      </c>
      <c r="B170" s="33">
        <f t="shared" si="70"/>
        <v>0</v>
      </c>
      <c r="C170" s="33">
        <f t="shared" si="71"/>
        <v>75500</v>
      </c>
      <c r="D170" s="34">
        <f t="shared" si="72"/>
        <v>0</v>
      </c>
      <c r="E170" s="32">
        <f t="shared" si="73"/>
        <v>36000</v>
      </c>
      <c r="F170" s="33">
        <f t="shared" si="94"/>
        <v>93500</v>
      </c>
      <c r="G170" s="33">
        <f t="shared" si="74"/>
        <v>4500</v>
      </c>
      <c r="H170" s="33">
        <f t="shared" si="75"/>
        <v>26100</v>
      </c>
      <c r="I170" s="33">
        <f t="shared" si="99"/>
        <v>30600</v>
      </c>
      <c r="J170" s="42">
        <f t="shared" si="76"/>
        <v>0</v>
      </c>
      <c r="K170" s="33">
        <f t="shared" si="97"/>
        <v>106100</v>
      </c>
      <c r="L170" s="33">
        <f t="shared" si="77"/>
        <v>22284</v>
      </c>
      <c r="M170" s="32">
        <f t="shared" si="95"/>
        <v>83816</v>
      </c>
      <c r="N170" s="33">
        <f t="shared" si="78"/>
        <v>0</v>
      </c>
      <c r="O170" s="34">
        <f t="shared" si="98"/>
        <v>83816</v>
      </c>
      <c r="P170" s="32">
        <f t="shared" si="79"/>
        <v>0</v>
      </c>
      <c r="Q170" s="33">
        <f t="shared" si="80"/>
        <v>0</v>
      </c>
      <c r="R170" s="33">
        <f t="shared" si="81"/>
        <v>33416</v>
      </c>
      <c r="S170" s="33">
        <f t="shared" si="82"/>
        <v>38000</v>
      </c>
      <c r="T170" s="33">
        <f t="shared" si="83"/>
        <v>12400</v>
      </c>
      <c r="U170" s="4">
        <f t="shared" si="84"/>
        <v>0</v>
      </c>
      <c r="V170" s="38">
        <f t="shared" si="85"/>
        <v>0</v>
      </c>
      <c r="W170" s="39">
        <f t="shared" si="86"/>
        <v>0</v>
      </c>
      <c r="X170" s="4">
        <f t="shared" si="87"/>
        <v>0</v>
      </c>
      <c r="Y170" s="4">
        <f t="shared" si="88"/>
        <v>7351.52</v>
      </c>
      <c r="Z170" s="4">
        <f t="shared" si="89"/>
        <v>4560</v>
      </c>
      <c r="AA170" s="4">
        <f t="shared" si="90"/>
        <v>1240</v>
      </c>
      <c r="AB170" s="4">
        <f t="shared" si="91"/>
        <v>0</v>
      </c>
      <c r="AC170" s="38">
        <f t="shared" si="96"/>
        <v>13151.52</v>
      </c>
      <c r="AD170" s="40">
        <f t="shared" si="92"/>
        <v>0.23319999999999708</v>
      </c>
    </row>
    <row r="171" spans="1:30" x14ac:dyDescent="0.3">
      <c r="A171" s="32">
        <f t="shared" si="93"/>
        <v>76000</v>
      </c>
      <c r="B171" s="33">
        <f t="shared" si="70"/>
        <v>0</v>
      </c>
      <c r="C171" s="33">
        <f t="shared" si="71"/>
        <v>76000</v>
      </c>
      <c r="D171" s="34">
        <f t="shared" si="72"/>
        <v>0</v>
      </c>
      <c r="E171" s="32">
        <f t="shared" si="73"/>
        <v>36000</v>
      </c>
      <c r="F171" s="33">
        <f t="shared" si="94"/>
        <v>94000</v>
      </c>
      <c r="G171" s="33">
        <f t="shared" si="74"/>
        <v>4500</v>
      </c>
      <c r="H171" s="33">
        <f t="shared" si="75"/>
        <v>26100</v>
      </c>
      <c r="I171" s="33">
        <f t="shared" si="99"/>
        <v>30600</v>
      </c>
      <c r="J171" s="42">
        <f t="shared" si="76"/>
        <v>0</v>
      </c>
      <c r="K171" s="33">
        <f t="shared" si="97"/>
        <v>106600</v>
      </c>
      <c r="L171" s="33">
        <f t="shared" si="77"/>
        <v>22254</v>
      </c>
      <c r="M171" s="32">
        <f t="shared" si="95"/>
        <v>84346</v>
      </c>
      <c r="N171" s="33">
        <f t="shared" si="78"/>
        <v>0</v>
      </c>
      <c r="O171" s="34">
        <f t="shared" si="98"/>
        <v>84346</v>
      </c>
      <c r="P171" s="32">
        <f t="shared" si="79"/>
        <v>0</v>
      </c>
      <c r="Q171" s="33">
        <f t="shared" si="80"/>
        <v>0</v>
      </c>
      <c r="R171" s="33">
        <f t="shared" si="81"/>
        <v>33946</v>
      </c>
      <c r="S171" s="33">
        <f t="shared" si="82"/>
        <v>38000</v>
      </c>
      <c r="T171" s="33">
        <f t="shared" si="83"/>
        <v>12400</v>
      </c>
      <c r="U171" s="4">
        <f t="shared" si="84"/>
        <v>0</v>
      </c>
      <c r="V171" s="38">
        <f t="shared" si="85"/>
        <v>0</v>
      </c>
      <c r="W171" s="39">
        <f t="shared" si="86"/>
        <v>0</v>
      </c>
      <c r="X171" s="4">
        <f t="shared" si="87"/>
        <v>0</v>
      </c>
      <c r="Y171" s="4">
        <f t="shared" si="88"/>
        <v>7468.12</v>
      </c>
      <c r="Z171" s="4">
        <f t="shared" si="89"/>
        <v>4560</v>
      </c>
      <c r="AA171" s="4">
        <f t="shared" si="90"/>
        <v>1240</v>
      </c>
      <c r="AB171" s="4">
        <f t="shared" si="91"/>
        <v>0</v>
      </c>
      <c r="AC171" s="38">
        <f t="shared" si="96"/>
        <v>13268.119999999999</v>
      </c>
      <c r="AD171" s="40">
        <f t="shared" si="92"/>
        <v>0.23320000000000438</v>
      </c>
    </row>
    <row r="172" spans="1:30" x14ac:dyDescent="0.3">
      <c r="A172" s="32">
        <f t="shared" si="93"/>
        <v>76500</v>
      </c>
      <c r="B172" s="33">
        <f t="shared" si="70"/>
        <v>0</v>
      </c>
      <c r="C172" s="33">
        <f t="shared" si="71"/>
        <v>76500</v>
      </c>
      <c r="D172" s="34">
        <f t="shared" si="72"/>
        <v>0</v>
      </c>
      <c r="E172" s="32">
        <f t="shared" si="73"/>
        <v>36000</v>
      </c>
      <c r="F172" s="33">
        <f t="shared" si="94"/>
        <v>94500</v>
      </c>
      <c r="G172" s="33">
        <f t="shared" si="74"/>
        <v>4500</v>
      </c>
      <c r="H172" s="33">
        <f t="shared" si="75"/>
        <v>26100</v>
      </c>
      <c r="I172" s="33">
        <f t="shared" si="99"/>
        <v>30600</v>
      </c>
      <c r="J172" s="42">
        <f t="shared" si="76"/>
        <v>0</v>
      </c>
      <c r="K172" s="33">
        <f t="shared" si="97"/>
        <v>107100</v>
      </c>
      <c r="L172" s="33">
        <f t="shared" si="77"/>
        <v>22224</v>
      </c>
      <c r="M172" s="32">
        <f t="shared" si="95"/>
        <v>84876</v>
      </c>
      <c r="N172" s="33">
        <f t="shared" si="78"/>
        <v>0</v>
      </c>
      <c r="O172" s="34">
        <f t="shared" si="98"/>
        <v>84876</v>
      </c>
      <c r="P172" s="32">
        <f t="shared" si="79"/>
        <v>0</v>
      </c>
      <c r="Q172" s="33">
        <f t="shared" si="80"/>
        <v>0</v>
      </c>
      <c r="R172" s="33">
        <f t="shared" si="81"/>
        <v>34476</v>
      </c>
      <c r="S172" s="33">
        <f t="shared" si="82"/>
        <v>38000</v>
      </c>
      <c r="T172" s="33">
        <f t="shared" si="83"/>
        <v>12400</v>
      </c>
      <c r="U172" s="4">
        <f t="shared" si="84"/>
        <v>0</v>
      </c>
      <c r="V172" s="38">
        <f t="shared" si="85"/>
        <v>0</v>
      </c>
      <c r="W172" s="39">
        <f t="shared" si="86"/>
        <v>0</v>
      </c>
      <c r="X172" s="4">
        <f t="shared" si="87"/>
        <v>0</v>
      </c>
      <c r="Y172" s="4">
        <f t="shared" si="88"/>
        <v>7584.72</v>
      </c>
      <c r="Z172" s="4">
        <f t="shared" si="89"/>
        <v>4560</v>
      </c>
      <c r="AA172" s="4">
        <f t="shared" si="90"/>
        <v>1240</v>
      </c>
      <c r="AB172" s="4">
        <f t="shared" si="91"/>
        <v>0</v>
      </c>
      <c r="AC172" s="38">
        <f t="shared" si="96"/>
        <v>13384.720000000001</v>
      </c>
      <c r="AD172" s="40">
        <f t="shared" si="92"/>
        <v>0.23319999999999708</v>
      </c>
    </row>
    <row r="173" spans="1:30" x14ac:dyDescent="0.3">
      <c r="A173" s="32">
        <f t="shared" si="93"/>
        <v>77000</v>
      </c>
      <c r="B173" s="33">
        <f t="shared" si="70"/>
        <v>0</v>
      </c>
      <c r="C173" s="33">
        <f t="shared" si="71"/>
        <v>77000</v>
      </c>
      <c r="D173" s="34">
        <f t="shared" si="72"/>
        <v>0</v>
      </c>
      <c r="E173" s="32">
        <f t="shared" si="73"/>
        <v>36000</v>
      </c>
      <c r="F173" s="33">
        <f t="shared" si="94"/>
        <v>95000</v>
      </c>
      <c r="G173" s="33">
        <f t="shared" si="74"/>
        <v>4500</v>
      </c>
      <c r="H173" s="33">
        <f t="shared" si="75"/>
        <v>26100</v>
      </c>
      <c r="I173" s="33">
        <f t="shared" si="99"/>
        <v>30600</v>
      </c>
      <c r="J173" s="42">
        <f t="shared" si="76"/>
        <v>0</v>
      </c>
      <c r="K173" s="33">
        <f t="shared" si="97"/>
        <v>107600</v>
      </c>
      <c r="L173" s="33">
        <f t="shared" si="77"/>
        <v>22194</v>
      </c>
      <c r="M173" s="32">
        <f t="shared" si="95"/>
        <v>85406</v>
      </c>
      <c r="N173" s="33">
        <f t="shared" si="78"/>
        <v>0</v>
      </c>
      <c r="O173" s="34">
        <f t="shared" si="98"/>
        <v>85406</v>
      </c>
      <c r="P173" s="32">
        <f t="shared" si="79"/>
        <v>0</v>
      </c>
      <c r="Q173" s="33">
        <f t="shared" si="80"/>
        <v>0</v>
      </c>
      <c r="R173" s="33">
        <f t="shared" si="81"/>
        <v>35006</v>
      </c>
      <c r="S173" s="33">
        <f t="shared" si="82"/>
        <v>38000</v>
      </c>
      <c r="T173" s="33">
        <f t="shared" si="83"/>
        <v>12400</v>
      </c>
      <c r="U173" s="4">
        <f t="shared" si="84"/>
        <v>0</v>
      </c>
      <c r="V173" s="38">
        <f t="shared" si="85"/>
        <v>0</v>
      </c>
      <c r="W173" s="39">
        <f t="shared" si="86"/>
        <v>0</v>
      </c>
      <c r="X173" s="4">
        <f t="shared" si="87"/>
        <v>0</v>
      </c>
      <c r="Y173" s="4">
        <f t="shared" si="88"/>
        <v>7701.32</v>
      </c>
      <c r="Z173" s="4">
        <f t="shared" si="89"/>
        <v>4560</v>
      </c>
      <c r="AA173" s="4">
        <f t="shared" si="90"/>
        <v>1240</v>
      </c>
      <c r="AB173" s="4">
        <f t="shared" si="91"/>
        <v>0</v>
      </c>
      <c r="AC173" s="38">
        <f t="shared" si="96"/>
        <v>13501.32</v>
      </c>
      <c r="AD173" s="40">
        <f t="shared" si="92"/>
        <v>0.23320000000000074</v>
      </c>
    </row>
    <row r="174" spans="1:30" x14ac:dyDescent="0.3">
      <c r="A174" s="32">
        <f t="shared" si="93"/>
        <v>77500</v>
      </c>
      <c r="B174" s="33">
        <f t="shared" si="70"/>
        <v>0</v>
      </c>
      <c r="C174" s="33">
        <f t="shared" si="71"/>
        <v>77500</v>
      </c>
      <c r="D174" s="34">
        <f t="shared" si="72"/>
        <v>0</v>
      </c>
      <c r="E174" s="32">
        <f t="shared" si="73"/>
        <v>36000</v>
      </c>
      <c r="F174" s="33">
        <f t="shared" si="94"/>
        <v>95500</v>
      </c>
      <c r="G174" s="33">
        <f t="shared" si="74"/>
        <v>4500</v>
      </c>
      <c r="H174" s="33">
        <f t="shared" si="75"/>
        <v>26100</v>
      </c>
      <c r="I174" s="33">
        <f t="shared" si="99"/>
        <v>30600</v>
      </c>
      <c r="J174" s="42">
        <f t="shared" si="76"/>
        <v>0</v>
      </c>
      <c r="K174" s="33">
        <f t="shared" si="97"/>
        <v>108100</v>
      </c>
      <c r="L174" s="33">
        <f t="shared" si="77"/>
        <v>22164</v>
      </c>
      <c r="M174" s="32">
        <f t="shared" si="95"/>
        <v>85936</v>
      </c>
      <c r="N174" s="33">
        <f t="shared" si="78"/>
        <v>0</v>
      </c>
      <c r="O174" s="34">
        <f t="shared" si="98"/>
        <v>85936</v>
      </c>
      <c r="P174" s="32">
        <f t="shared" si="79"/>
        <v>0</v>
      </c>
      <c r="Q174" s="33">
        <f t="shared" si="80"/>
        <v>0</v>
      </c>
      <c r="R174" s="33">
        <f t="shared" si="81"/>
        <v>35536</v>
      </c>
      <c r="S174" s="33">
        <f t="shared" si="82"/>
        <v>38000</v>
      </c>
      <c r="T174" s="33">
        <f t="shared" si="83"/>
        <v>12400</v>
      </c>
      <c r="U174" s="4">
        <f t="shared" si="84"/>
        <v>0</v>
      </c>
      <c r="V174" s="38">
        <f t="shared" si="85"/>
        <v>0</v>
      </c>
      <c r="W174" s="39">
        <f t="shared" si="86"/>
        <v>0</v>
      </c>
      <c r="X174" s="4">
        <f t="shared" si="87"/>
        <v>0</v>
      </c>
      <c r="Y174" s="4">
        <f t="shared" si="88"/>
        <v>7817.92</v>
      </c>
      <c r="Z174" s="4">
        <f t="shared" si="89"/>
        <v>4560</v>
      </c>
      <c r="AA174" s="4">
        <f t="shared" si="90"/>
        <v>1240</v>
      </c>
      <c r="AB174" s="4">
        <f t="shared" si="91"/>
        <v>0</v>
      </c>
      <c r="AC174" s="38">
        <f t="shared" si="96"/>
        <v>13617.92</v>
      </c>
      <c r="AD174" s="40">
        <f t="shared" si="92"/>
        <v>0.23320000000000074</v>
      </c>
    </row>
    <row r="175" spans="1:30" x14ac:dyDescent="0.3">
      <c r="A175" s="32">
        <f t="shared" si="93"/>
        <v>78000</v>
      </c>
      <c r="B175" s="33">
        <f t="shared" si="70"/>
        <v>0</v>
      </c>
      <c r="C175" s="33">
        <f t="shared" si="71"/>
        <v>78000</v>
      </c>
      <c r="D175" s="34">
        <f t="shared" si="72"/>
        <v>0</v>
      </c>
      <c r="E175" s="32">
        <f t="shared" si="73"/>
        <v>36000</v>
      </c>
      <c r="F175" s="33">
        <f t="shared" si="94"/>
        <v>96000</v>
      </c>
      <c r="G175" s="33">
        <f t="shared" si="74"/>
        <v>4500</v>
      </c>
      <c r="H175" s="33">
        <f t="shared" si="75"/>
        <v>26100</v>
      </c>
      <c r="I175" s="33">
        <f t="shared" si="99"/>
        <v>30600</v>
      </c>
      <c r="J175" s="42">
        <f t="shared" si="76"/>
        <v>0</v>
      </c>
      <c r="K175" s="33">
        <f t="shared" si="97"/>
        <v>108600</v>
      </c>
      <c r="L175" s="33">
        <f t="shared" si="77"/>
        <v>22134</v>
      </c>
      <c r="M175" s="32">
        <f t="shared" si="95"/>
        <v>86466</v>
      </c>
      <c r="N175" s="33">
        <f t="shared" si="78"/>
        <v>0</v>
      </c>
      <c r="O175" s="34">
        <f t="shared" si="98"/>
        <v>86466</v>
      </c>
      <c r="P175" s="32">
        <f t="shared" si="79"/>
        <v>0</v>
      </c>
      <c r="Q175" s="33">
        <f t="shared" si="80"/>
        <v>0</v>
      </c>
      <c r="R175" s="33">
        <f t="shared" si="81"/>
        <v>36066</v>
      </c>
      <c r="S175" s="33">
        <f t="shared" si="82"/>
        <v>38000</v>
      </c>
      <c r="T175" s="33">
        <f t="shared" si="83"/>
        <v>12400</v>
      </c>
      <c r="U175" s="4">
        <f t="shared" si="84"/>
        <v>0</v>
      </c>
      <c r="V175" s="38">
        <f t="shared" si="85"/>
        <v>0</v>
      </c>
      <c r="W175" s="39">
        <f t="shared" si="86"/>
        <v>0</v>
      </c>
      <c r="X175" s="4">
        <f t="shared" si="87"/>
        <v>0</v>
      </c>
      <c r="Y175" s="4">
        <f t="shared" si="88"/>
        <v>7934.52</v>
      </c>
      <c r="Z175" s="4">
        <f t="shared" si="89"/>
        <v>4560</v>
      </c>
      <c r="AA175" s="4">
        <f t="shared" si="90"/>
        <v>1240</v>
      </c>
      <c r="AB175" s="4">
        <f t="shared" si="91"/>
        <v>0</v>
      </c>
      <c r="AC175" s="38">
        <f t="shared" si="96"/>
        <v>13734.52</v>
      </c>
      <c r="AD175" s="40">
        <f t="shared" si="92"/>
        <v>0.23319999999999708</v>
      </c>
    </row>
    <row r="176" spans="1:30" x14ac:dyDescent="0.3">
      <c r="A176" s="32">
        <f t="shared" si="93"/>
        <v>78500</v>
      </c>
      <c r="B176" s="33">
        <f t="shared" si="70"/>
        <v>0</v>
      </c>
      <c r="C176" s="33">
        <f t="shared" si="71"/>
        <v>78500</v>
      </c>
      <c r="D176" s="34">
        <f t="shared" si="72"/>
        <v>0</v>
      </c>
      <c r="E176" s="32">
        <f t="shared" si="73"/>
        <v>36000</v>
      </c>
      <c r="F176" s="33">
        <f t="shared" si="94"/>
        <v>96500</v>
      </c>
      <c r="G176" s="33">
        <f t="shared" si="74"/>
        <v>4500</v>
      </c>
      <c r="H176" s="33">
        <f t="shared" si="75"/>
        <v>26100</v>
      </c>
      <c r="I176" s="33">
        <f t="shared" si="99"/>
        <v>30600</v>
      </c>
      <c r="J176" s="42">
        <f t="shared" si="76"/>
        <v>0</v>
      </c>
      <c r="K176" s="33">
        <f t="shared" si="97"/>
        <v>109100</v>
      </c>
      <c r="L176" s="33">
        <f t="shared" si="77"/>
        <v>22104</v>
      </c>
      <c r="M176" s="32">
        <f t="shared" si="95"/>
        <v>86996</v>
      </c>
      <c r="N176" s="33">
        <f t="shared" si="78"/>
        <v>0</v>
      </c>
      <c r="O176" s="34">
        <f t="shared" si="98"/>
        <v>86996</v>
      </c>
      <c r="P176" s="32">
        <f t="shared" si="79"/>
        <v>0</v>
      </c>
      <c r="Q176" s="33">
        <f t="shared" si="80"/>
        <v>0</v>
      </c>
      <c r="R176" s="33">
        <f t="shared" si="81"/>
        <v>36596</v>
      </c>
      <c r="S176" s="33">
        <f t="shared" si="82"/>
        <v>38000</v>
      </c>
      <c r="T176" s="33">
        <f t="shared" si="83"/>
        <v>12400</v>
      </c>
      <c r="U176" s="4">
        <f t="shared" si="84"/>
        <v>0</v>
      </c>
      <c r="V176" s="38">
        <f t="shared" si="85"/>
        <v>0</v>
      </c>
      <c r="W176" s="39">
        <f t="shared" si="86"/>
        <v>0</v>
      </c>
      <c r="X176" s="4">
        <f t="shared" si="87"/>
        <v>0</v>
      </c>
      <c r="Y176" s="4">
        <f t="shared" si="88"/>
        <v>8051.12</v>
      </c>
      <c r="Z176" s="4">
        <f t="shared" si="89"/>
        <v>4560</v>
      </c>
      <c r="AA176" s="4">
        <f t="shared" si="90"/>
        <v>1240</v>
      </c>
      <c r="AB176" s="4">
        <f t="shared" si="91"/>
        <v>0</v>
      </c>
      <c r="AC176" s="38">
        <f t="shared" si="96"/>
        <v>13851.119999999999</v>
      </c>
      <c r="AD176" s="40">
        <f t="shared" si="92"/>
        <v>0.23320000000000438</v>
      </c>
    </row>
    <row r="177" spans="1:30" x14ac:dyDescent="0.3">
      <c r="A177" s="32">
        <f t="shared" si="93"/>
        <v>79000</v>
      </c>
      <c r="B177" s="33">
        <f t="shared" si="70"/>
        <v>0</v>
      </c>
      <c r="C177" s="33">
        <f t="shared" si="71"/>
        <v>79000</v>
      </c>
      <c r="D177" s="34">
        <f t="shared" si="72"/>
        <v>0</v>
      </c>
      <c r="E177" s="32">
        <f t="shared" si="73"/>
        <v>36000</v>
      </c>
      <c r="F177" s="33">
        <f t="shared" si="94"/>
        <v>97000</v>
      </c>
      <c r="G177" s="33">
        <f t="shared" si="74"/>
        <v>4500</v>
      </c>
      <c r="H177" s="33">
        <f t="shared" si="75"/>
        <v>26100</v>
      </c>
      <c r="I177" s="33">
        <f t="shared" si="99"/>
        <v>30600</v>
      </c>
      <c r="J177" s="42">
        <f t="shared" si="76"/>
        <v>0</v>
      </c>
      <c r="K177" s="33">
        <f t="shared" si="97"/>
        <v>109600</v>
      </c>
      <c r="L177" s="33">
        <f t="shared" si="77"/>
        <v>22074</v>
      </c>
      <c r="M177" s="32">
        <f t="shared" si="95"/>
        <v>87526</v>
      </c>
      <c r="N177" s="33">
        <f t="shared" si="78"/>
        <v>0</v>
      </c>
      <c r="O177" s="34">
        <f t="shared" si="98"/>
        <v>87526</v>
      </c>
      <c r="P177" s="32">
        <f t="shared" si="79"/>
        <v>0</v>
      </c>
      <c r="Q177" s="33">
        <f t="shared" si="80"/>
        <v>0</v>
      </c>
      <c r="R177" s="33">
        <f t="shared" si="81"/>
        <v>37126</v>
      </c>
      <c r="S177" s="33">
        <f t="shared" si="82"/>
        <v>38000</v>
      </c>
      <c r="T177" s="33">
        <f t="shared" si="83"/>
        <v>12400</v>
      </c>
      <c r="U177" s="4">
        <f t="shared" si="84"/>
        <v>0</v>
      </c>
      <c r="V177" s="38">
        <f t="shared" si="85"/>
        <v>0</v>
      </c>
      <c r="W177" s="39">
        <f t="shared" si="86"/>
        <v>0</v>
      </c>
      <c r="X177" s="4">
        <f t="shared" si="87"/>
        <v>0</v>
      </c>
      <c r="Y177" s="4">
        <f t="shared" si="88"/>
        <v>8167.72</v>
      </c>
      <c r="Z177" s="4">
        <f t="shared" si="89"/>
        <v>4560</v>
      </c>
      <c r="AA177" s="4">
        <f t="shared" si="90"/>
        <v>1240</v>
      </c>
      <c r="AB177" s="4">
        <f t="shared" si="91"/>
        <v>0</v>
      </c>
      <c r="AC177" s="38">
        <f t="shared" si="96"/>
        <v>13967.720000000001</v>
      </c>
      <c r="AD177" s="40">
        <f t="shared" si="92"/>
        <v>0.23319999999999708</v>
      </c>
    </row>
    <row r="178" spans="1:30" x14ac:dyDescent="0.3">
      <c r="A178" s="32">
        <f t="shared" si="93"/>
        <v>79500</v>
      </c>
      <c r="B178" s="33">
        <f t="shared" si="70"/>
        <v>0</v>
      </c>
      <c r="C178" s="33">
        <f t="shared" si="71"/>
        <v>79500</v>
      </c>
      <c r="D178" s="34">
        <f t="shared" si="72"/>
        <v>0</v>
      </c>
      <c r="E178" s="32">
        <f t="shared" si="73"/>
        <v>36000</v>
      </c>
      <c r="F178" s="33">
        <f t="shared" si="94"/>
        <v>97500</v>
      </c>
      <c r="G178" s="33">
        <f t="shared" si="74"/>
        <v>4500</v>
      </c>
      <c r="H178" s="33">
        <f t="shared" si="75"/>
        <v>26100</v>
      </c>
      <c r="I178" s="33">
        <f t="shared" si="99"/>
        <v>30600</v>
      </c>
      <c r="J178" s="42">
        <f t="shared" si="76"/>
        <v>0</v>
      </c>
      <c r="K178" s="33">
        <f t="shared" si="97"/>
        <v>110100</v>
      </c>
      <c r="L178" s="33">
        <f t="shared" si="77"/>
        <v>22044</v>
      </c>
      <c r="M178" s="32">
        <f t="shared" si="95"/>
        <v>88056</v>
      </c>
      <c r="N178" s="33">
        <f t="shared" si="78"/>
        <v>0</v>
      </c>
      <c r="O178" s="34">
        <f t="shared" si="98"/>
        <v>88056</v>
      </c>
      <c r="P178" s="32">
        <f t="shared" si="79"/>
        <v>0</v>
      </c>
      <c r="Q178" s="33">
        <f t="shared" si="80"/>
        <v>0</v>
      </c>
      <c r="R178" s="33">
        <f t="shared" si="81"/>
        <v>37656</v>
      </c>
      <c r="S178" s="33">
        <f t="shared" si="82"/>
        <v>38000</v>
      </c>
      <c r="T178" s="33">
        <f t="shared" si="83"/>
        <v>12400</v>
      </c>
      <c r="U178" s="4">
        <f t="shared" si="84"/>
        <v>0</v>
      </c>
      <c r="V178" s="38">
        <f t="shared" si="85"/>
        <v>0</v>
      </c>
      <c r="W178" s="39">
        <f t="shared" si="86"/>
        <v>0</v>
      </c>
      <c r="X178" s="4">
        <f t="shared" si="87"/>
        <v>0</v>
      </c>
      <c r="Y178" s="4">
        <f t="shared" si="88"/>
        <v>8284.32</v>
      </c>
      <c r="Z178" s="4">
        <f t="shared" si="89"/>
        <v>4560</v>
      </c>
      <c r="AA178" s="4">
        <f t="shared" si="90"/>
        <v>1240</v>
      </c>
      <c r="AB178" s="4">
        <f t="shared" si="91"/>
        <v>0</v>
      </c>
      <c r="AC178" s="38">
        <f t="shared" si="96"/>
        <v>14084.32</v>
      </c>
      <c r="AD178" s="40">
        <f t="shared" si="92"/>
        <v>0.23320000000000074</v>
      </c>
    </row>
    <row r="179" spans="1:30" x14ac:dyDescent="0.3">
      <c r="A179" s="32">
        <f t="shared" si="93"/>
        <v>80000</v>
      </c>
      <c r="B179" s="33">
        <f t="shared" si="70"/>
        <v>0</v>
      </c>
      <c r="C179" s="33">
        <f t="shared" si="71"/>
        <v>80000</v>
      </c>
      <c r="D179" s="34">
        <f t="shared" si="72"/>
        <v>0</v>
      </c>
      <c r="E179" s="32">
        <f t="shared" si="73"/>
        <v>36000</v>
      </c>
      <c r="F179" s="33">
        <f t="shared" si="94"/>
        <v>98000</v>
      </c>
      <c r="G179" s="33">
        <f t="shared" si="74"/>
        <v>4500</v>
      </c>
      <c r="H179" s="33">
        <f t="shared" si="75"/>
        <v>26100</v>
      </c>
      <c r="I179" s="33">
        <f t="shared" si="99"/>
        <v>30600</v>
      </c>
      <c r="J179" s="42">
        <f t="shared" ref="J179:J210" si="100">(I180-I179)/B$12</f>
        <v>0</v>
      </c>
      <c r="K179" s="33">
        <f t="shared" si="97"/>
        <v>110600</v>
      </c>
      <c r="L179" s="33">
        <f t="shared" si="77"/>
        <v>22014</v>
      </c>
      <c r="M179" s="32">
        <f t="shared" si="95"/>
        <v>88586</v>
      </c>
      <c r="N179" s="33">
        <f t="shared" si="78"/>
        <v>0</v>
      </c>
      <c r="O179" s="34">
        <f t="shared" si="98"/>
        <v>88586</v>
      </c>
      <c r="P179" s="32">
        <f t="shared" si="79"/>
        <v>0</v>
      </c>
      <c r="Q179" s="33">
        <f t="shared" si="80"/>
        <v>0</v>
      </c>
      <c r="R179" s="33">
        <f t="shared" si="81"/>
        <v>38186</v>
      </c>
      <c r="S179" s="33">
        <f t="shared" si="82"/>
        <v>38000</v>
      </c>
      <c r="T179" s="33">
        <f t="shared" si="83"/>
        <v>12400</v>
      </c>
      <c r="U179" s="4">
        <f t="shared" si="84"/>
        <v>0</v>
      </c>
      <c r="V179" s="38">
        <f t="shared" si="85"/>
        <v>0</v>
      </c>
      <c r="W179" s="39">
        <f t="shared" si="86"/>
        <v>0</v>
      </c>
      <c r="X179" s="4">
        <f t="shared" si="87"/>
        <v>0</v>
      </c>
      <c r="Y179" s="4">
        <f t="shared" si="88"/>
        <v>8400.92</v>
      </c>
      <c r="Z179" s="4">
        <f t="shared" si="89"/>
        <v>4560</v>
      </c>
      <c r="AA179" s="4">
        <f t="shared" si="90"/>
        <v>1240</v>
      </c>
      <c r="AB179" s="4">
        <f t="shared" si="91"/>
        <v>0</v>
      </c>
      <c r="AC179" s="38">
        <f t="shared" si="96"/>
        <v>14200.92</v>
      </c>
      <c r="AD179" s="40">
        <f t="shared" ref="AD179:AD210" si="101">(AC180-AC179)/B$12</f>
        <v>0.23320000000000074</v>
      </c>
    </row>
    <row r="180" spans="1:30" x14ac:dyDescent="0.3">
      <c r="A180" s="32">
        <f t="shared" ref="A180:A211" si="102">A179+B$12</f>
        <v>80500</v>
      </c>
      <c r="B180" s="33">
        <f t="shared" si="70"/>
        <v>0</v>
      </c>
      <c r="C180" s="33">
        <f t="shared" si="71"/>
        <v>80500</v>
      </c>
      <c r="D180" s="34">
        <f t="shared" si="72"/>
        <v>0</v>
      </c>
      <c r="E180" s="32">
        <f t="shared" si="73"/>
        <v>36000</v>
      </c>
      <c r="F180" s="33">
        <f t="shared" si="94"/>
        <v>98500</v>
      </c>
      <c r="G180" s="33">
        <f t="shared" si="74"/>
        <v>4500</v>
      </c>
      <c r="H180" s="33">
        <f t="shared" si="75"/>
        <v>26100</v>
      </c>
      <c r="I180" s="33">
        <f t="shared" si="99"/>
        <v>30600</v>
      </c>
      <c r="J180" s="42">
        <f t="shared" si="100"/>
        <v>0</v>
      </c>
      <c r="K180" s="33">
        <f t="shared" si="97"/>
        <v>111100</v>
      </c>
      <c r="L180" s="33">
        <f t="shared" si="77"/>
        <v>21984</v>
      </c>
      <c r="M180" s="32">
        <f t="shared" si="95"/>
        <v>89116</v>
      </c>
      <c r="N180" s="33">
        <f t="shared" si="78"/>
        <v>0</v>
      </c>
      <c r="O180" s="34">
        <f t="shared" si="98"/>
        <v>89116</v>
      </c>
      <c r="P180" s="32">
        <f t="shared" si="79"/>
        <v>0</v>
      </c>
      <c r="Q180" s="33">
        <f t="shared" si="80"/>
        <v>0</v>
      </c>
      <c r="R180" s="33">
        <f t="shared" si="81"/>
        <v>38716</v>
      </c>
      <c r="S180" s="33">
        <f t="shared" si="82"/>
        <v>38000</v>
      </c>
      <c r="T180" s="33">
        <f t="shared" si="83"/>
        <v>12400</v>
      </c>
      <c r="U180" s="4">
        <f t="shared" si="84"/>
        <v>0</v>
      </c>
      <c r="V180" s="38">
        <f t="shared" si="85"/>
        <v>0</v>
      </c>
      <c r="W180" s="39">
        <f t="shared" si="86"/>
        <v>0</v>
      </c>
      <c r="X180" s="4">
        <f t="shared" si="87"/>
        <v>0</v>
      </c>
      <c r="Y180" s="4">
        <f t="shared" si="88"/>
        <v>8517.52</v>
      </c>
      <c r="Z180" s="4">
        <f t="shared" si="89"/>
        <v>4560</v>
      </c>
      <c r="AA180" s="4">
        <f t="shared" si="90"/>
        <v>1240</v>
      </c>
      <c r="AB180" s="4">
        <f t="shared" si="91"/>
        <v>0</v>
      </c>
      <c r="AC180" s="38">
        <f t="shared" si="96"/>
        <v>14317.52</v>
      </c>
      <c r="AD180" s="40">
        <f t="shared" si="101"/>
        <v>0.23320000000000074</v>
      </c>
    </row>
    <row r="181" spans="1:30" x14ac:dyDescent="0.3">
      <c r="A181" s="32">
        <f t="shared" si="102"/>
        <v>81000</v>
      </c>
      <c r="B181" s="33">
        <f t="shared" si="70"/>
        <v>0</v>
      </c>
      <c r="C181" s="33">
        <f t="shared" si="71"/>
        <v>81000</v>
      </c>
      <c r="D181" s="34">
        <f t="shared" si="72"/>
        <v>0</v>
      </c>
      <c r="E181" s="32">
        <f t="shared" si="73"/>
        <v>36000</v>
      </c>
      <c r="F181" s="33">
        <f t="shared" si="94"/>
        <v>99000</v>
      </c>
      <c r="G181" s="33">
        <f t="shared" si="74"/>
        <v>4500</v>
      </c>
      <c r="H181" s="33">
        <f t="shared" si="75"/>
        <v>26100</v>
      </c>
      <c r="I181" s="33">
        <f t="shared" si="99"/>
        <v>30600</v>
      </c>
      <c r="J181" s="42">
        <f t="shared" si="100"/>
        <v>0</v>
      </c>
      <c r="K181" s="33">
        <f t="shared" si="97"/>
        <v>111600</v>
      </c>
      <c r="L181" s="33">
        <f t="shared" si="77"/>
        <v>21954</v>
      </c>
      <c r="M181" s="32">
        <f t="shared" si="95"/>
        <v>89646</v>
      </c>
      <c r="N181" s="33">
        <f t="shared" si="78"/>
        <v>0</v>
      </c>
      <c r="O181" s="34">
        <f t="shared" si="98"/>
        <v>89646</v>
      </c>
      <c r="P181" s="32">
        <f t="shared" si="79"/>
        <v>0</v>
      </c>
      <c r="Q181" s="33">
        <f t="shared" si="80"/>
        <v>0</v>
      </c>
      <c r="R181" s="33">
        <f t="shared" si="81"/>
        <v>39246</v>
      </c>
      <c r="S181" s="33">
        <f t="shared" si="82"/>
        <v>38000</v>
      </c>
      <c r="T181" s="33">
        <f t="shared" si="83"/>
        <v>12400</v>
      </c>
      <c r="U181" s="4">
        <f t="shared" si="84"/>
        <v>0</v>
      </c>
      <c r="V181" s="38">
        <f t="shared" si="85"/>
        <v>0</v>
      </c>
      <c r="W181" s="39">
        <f t="shared" si="86"/>
        <v>0</v>
      </c>
      <c r="X181" s="4">
        <f t="shared" si="87"/>
        <v>0</v>
      </c>
      <c r="Y181" s="4">
        <f t="shared" si="88"/>
        <v>8634.1200000000008</v>
      </c>
      <c r="Z181" s="4">
        <f t="shared" si="89"/>
        <v>4560</v>
      </c>
      <c r="AA181" s="4">
        <f t="shared" si="90"/>
        <v>1240</v>
      </c>
      <c r="AB181" s="4">
        <f t="shared" si="91"/>
        <v>0</v>
      </c>
      <c r="AC181" s="38">
        <f t="shared" si="96"/>
        <v>14434.12</v>
      </c>
      <c r="AD181" s="40">
        <f t="shared" si="101"/>
        <v>0.23319999999999708</v>
      </c>
    </row>
    <row r="182" spans="1:30" x14ac:dyDescent="0.3">
      <c r="A182" s="32">
        <f t="shared" si="102"/>
        <v>81500</v>
      </c>
      <c r="B182" s="33">
        <f t="shared" si="70"/>
        <v>0</v>
      </c>
      <c r="C182" s="33">
        <f t="shared" si="71"/>
        <v>81500</v>
      </c>
      <c r="D182" s="34">
        <f t="shared" si="72"/>
        <v>0</v>
      </c>
      <c r="E182" s="32">
        <f t="shared" si="73"/>
        <v>36000</v>
      </c>
      <c r="F182" s="33">
        <f t="shared" si="94"/>
        <v>99500</v>
      </c>
      <c r="G182" s="33">
        <f t="shared" si="74"/>
        <v>4500</v>
      </c>
      <c r="H182" s="33">
        <f t="shared" si="75"/>
        <v>26100</v>
      </c>
      <c r="I182" s="33">
        <f t="shared" si="99"/>
        <v>30600</v>
      </c>
      <c r="J182" s="42">
        <f t="shared" si="100"/>
        <v>0</v>
      </c>
      <c r="K182" s="33">
        <f t="shared" si="97"/>
        <v>112100</v>
      </c>
      <c r="L182" s="33">
        <f t="shared" si="77"/>
        <v>21924</v>
      </c>
      <c r="M182" s="32">
        <f t="shared" si="95"/>
        <v>90176</v>
      </c>
      <c r="N182" s="33">
        <f t="shared" si="78"/>
        <v>0</v>
      </c>
      <c r="O182" s="34">
        <f t="shared" si="98"/>
        <v>90176</v>
      </c>
      <c r="P182" s="32">
        <f t="shared" si="79"/>
        <v>0</v>
      </c>
      <c r="Q182" s="33">
        <f t="shared" si="80"/>
        <v>0</v>
      </c>
      <c r="R182" s="33">
        <f t="shared" si="81"/>
        <v>39776</v>
      </c>
      <c r="S182" s="33">
        <f t="shared" si="82"/>
        <v>38000</v>
      </c>
      <c r="T182" s="33">
        <f t="shared" si="83"/>
        <v>12400</v>
      </c>
      <c r="U182" s="4">
        <f t="shared" si="84"/>
        <v>0</v>
      </c>
      <c r="V182" s="38">
        <f t="shared" si="85"/>
        <v>0</v>
      </c>
      <c r="W182" s="39">
        <f t="shared" si="86"/>
        <v>0</v>
      </c>
      <c r="X182" s="4">
        <f t="shared" si="87"/>
        <v>0</v>
      </c>
      <c r="Y182" s="4">
        <f t="shared" si="88"/>
        <v>8750.7199999999993</v>
      </c>
      <c r="Z182" s="4">
        <f t="shared" si="89"/>
        <v>4560</v>
      </c>
      <c r="AA182" s="4">
        <f t="shared" si="90"/>
        <v>1240</v>
      </c>
      <c r="AB182" s="4">
        <f t="shared" si="91"/>
        <v>0</v>
      </c>
      <c r="AC182" s="38">
        <f t="shared" si="96"/>
        <v>14550.72</v>
      </c>
      <c r="AD182" s="40">
        <f t="shared" si="101"/>
        <v>0.23320000000000074</v>
      </c>
    </row>
    <row r="183" spans="1:30" x14ac:dyDescent="0.3">
      <c r="A183" s="32">
        <f t="shared" si="102"/>
        <v>82000</v>
      </c>
      <c r="B183" s="33">
        <f t="shared" si="70"/>
        <v>0</v>
      </c>
      <c r="C183" s="33">
        <f t="shared" si="71"/>
        <v>82000</v>
      </c>
      <c r="D183" s="34">
        <f t="shared" si="72"/>
        <v>0</v>
      </c>
      <c r="E183" s="32">
        <f t="shared" si="73"/>
        <v>36000</v>
      </c>
      <c r="F183" s="33">
        <f t="shared" si="94"/>
        <v>100000</v>
      </c>
      <c r="G183" s="33">
        <f t="shared" si="74"/>
        <v>4500</v>
      </c>
      <c r="H183" s="33">
        <f t="shared" si="75"/>
        <v>26100</v>
      </c>
      <c r="I183" s="33">
        <f t="shared" si="99"/>
        <v>30600</v>
      </c>
      <c r="J183" s="42">
        <f t="shared" si="100"/>
        <v>0</v>
      </c>
      <c r="K183" s="33">
        <f t="shared" si="97"/>
        <v>112600</v>
      </c>
      <c r="L183" s="33">
        <f t="shared" si="77"/>
        <v>21894</v>
      </c>
      <c r="M183" s="32">
        <f t="shared" si="95"/>
        <v>90706</v>
      </c>
      <c r="N183" s="33">
        <f t="shared" si="78"/>
        <v>0</v>
      </c>
      <c r="O183" s="34">
        <f t="shared" si="98"/>
        <v>90706</v>
      </c>
      <c r="P183" s="32">
        <f t="shared" si="79"/>
        <v>0</v>
      </c>
      <c r="Q183" s="33">
        <f t="shared" si="80"/>
        <v>0</v>
      </c>
      <c r="R183" s="33">
        <f t="shared" si="81"/>
        <v>40306</v>
      </c>
      <c r="S183" s="33">
        <f t="shared" si="82"/>
        <v>38000</v>
      </c>
      <c r="T183" s="33">
        <f t="shared" si="83"/>
        <v>12400</v>
      </c>
      <c r="U183" s="4">
        <f t="shared" si="84"/>
        <v>0</v>
      </c>
      <c r="V183" s="38">
        <f t="shared" si="85"/>
        <v>0</v>
      </c>
      <c r="W183" s="39">
        <f t="shared" si="86"/>
        <v>0</v>
      </c>
      <c r="X183" s="4">
        <f t="shared" si="87"/>
        <v>0</v>
      </c>
      <c r="Y183" s="4">
        <f t="shared" si="88"/>
        <v>8867.32</v>
      </c>
      <c r="Z183" s="4">
        <f t="shared" si="89"/>
        <v>4560</v>
      </c>
      <c r="AA183" s="4">
        <f t="shared" si="90"/>
        <v>1240</v>
      </c>
      <c r="AB183" s="4">
        <f t="shared" si="91"/>
        <v>0</v>
      </c>
      <c r="AC183" s="38">
        <f t="shared" si="96"/>
        <v>14667.32</v>
      </c>
      <c r="AD183" s="40">
        <f t="shared" si="101"/>
        <v>0.23320000000000074</v>
      </c>
    </row>
    <row r="184" spans="1:30" x14ac:dyDescent="0.3">
      <c r="A184" s="32">
        <f t="shared" si="102"/>
        <v>82500</v>
      </c>
      <c r="B184" s="33">
        <f t="shared" si="70"/>
        <v>0</v>
      </c>
      <c r="C184" s="33">
        <f t="shared" si="71"/>
        <v>82500</v>
      </c>
      <c r="D184" s="34">
        <f t="shared" si="72"/>
        <v>0</v>
      </c>
      <c r="E184" s="32">
        <f t="shared" si="73"/>
        <v>36000</v>
      </c>
      <c r="F184" s="33">
        <f t="shared" si="94"/>
        <v>100500</v>
      </c>
      <c r="G184" s="33">
        <f t="shared" si="74"/>
        <v>4500</v>
      </c>
      <c r="H184" s="33">
        <f t="shared" si="75"/>
        <v>26100</v>
      </c>
      <c r="I184" s="33">
        <f t="shared" si="99"/>
        <v>30600</v>
      </c>
      <c r="J184" s="42">
        <f t="shared" si="100"/>
        <v>0</v>
      </c>
      <c r="K184" s="33">
        <f t="shared" si="97"/>
        <v>113100</v>
      </c>
      <c r="L184" s="33">
        <f t="shared" si="77"/>
        <v>21864</v>
      </c>
      <c r="M184" s="32">
        <f t="shared" si="95"/>
        <v>91236</v>
      </c>
      <c r="N184" s="33">
        <f t="shared" si="78"/>
        <v>0</v>
      </c>
      <c r="O184" s="34">
        <f t="shared" si="98"/>
        <v>91236</v>
      </c>
      <c r="P184" s="32">
        <f t="shared" si="79"/>
        <v>0</v>
      </c>
      <c r="Q184" s="33">
        <f t="shared" si="80"/>
        <v>0</v>
      </c>
      <c r="R184" s="33">
        <f t="shared" si="81"/>
        <v>40836</v>
      </c>
      <c r="S184" s="33">
        <f t="shared" si="82"/>
        <v>38000</v>
      </c>
      <c r="T184" s="33">
        <f t="shared" si="83"/>
        <v>12400</v>
      </c>
      <c r="U184" s="4">
        <f t="shared" si="84"/>
        <v>0</v>
      </c>
      <c r="V184" s="38">
        <f t="shared" si="85"/>
        <v>0</v>
      </c>
      <c r="W184" s="39">
        <f t="shared" si="86"/>
        <v>0</v>
      </c>
      <c r="X184" s="4">
        <f t="shared" si="87"/>
        <v>0</v>
      </c>
      <c r="Y184" s="4">
        <f t="shared" si="88"/>
        <v>8983.92</v>
      </c>
      <c r="Z184" s="4">
        <f t="shared" si="89"/>
        <v>4560</v>
      </c>
      <c r="AA184" s="4">
        <f t="shared" si="90"/>
        <v>1240</v>
      </c>
      <c r="AB184" s="4">
        <f t="shared" si="91"/>
        <v>0</v>
      </c>
      <c r="AC184" s="38">
        <f t="shared" si="96"/>
        <v>14783.92</v>
      </c>
      <c r="AD184" s="40">
        <f t="shared" si="101"/>
        <v>0.23320000000000074</v>
      </c>
    </row>
    <row r="185" spans="1:30" x14ac:dyDescent="0.3">
      <c r="A185" s="32">
        <f t="shared" si="102"/>
        <v>83000</v>
      </c>
      <c r="B185" s="33">
        <f t="shared" si="70"/>
        <v>0</v>
      </c>
      <c r="C185" s="33">
        <f t="shared" si="71"/>
        <v>83000</v>
      </c>
      <c r="D185" s="34">
        <f t="shared" si="72"/>
        <v>0</v>
      </c>
      <c r="E185" s="32">
        <f t="shared" si="73"/>
        <v>36000</v>
      </c>
      <c r="F185" s="33">
        <f t="shared" si="94"/>
        <v>101000</v>
      </c>
      <c r="G185" s="33">
        <f t="shared" si="74"/>
        <v>4500</v>
      </c>
      <c r="H185" s="33">
        <f t="shared" si="75"/>
        <v>26100</v>
      </c>
      <c r="I185" s="33">
        <f t="shared" si="99"/>
        <v>30600</v>
      </c>
      <c r="J185" s="42">
        <f t="shared" si="100"/>
        <v>0</v>
      </c>
      <c r="K185" s="33">
        <f t="shared" si="97"/>
        <v>113600</v>
      </c>
      <c r="L185" s="33">
        <f t="shared" si="77"/>
        <v>21834</v>
      </c>
      <c r="M185" s="32">
        <f t="shared" si="95"/>
        <v>91766</v>
      </c>
      <c r="N185" s="33">
        <f t="shared" si="78"/>
        <v>0</v>
      </c>
      <c r="O185" s="34">
        <f t="shared" si="98"/>
        <v>91766</v>
      </c>
      <c r="P185" s="32">
        <f t="shared" si="79"/>
        <v>0</v>
      </c>
      <c r="Q185" s="33">
        <f t="shared" si="80"/>
        <v>0</v>
      </c>
      <c r="R185" s="33">
        <f t="shared" si="81"/>
        <v>41366</v>
      </c>
      <c r="S185" s="33">
        <f t="shared" si="82"/>
        <v>38000</v>
      </c>
      <c r="T185" s="33">
        <f t="shared" si="83"/>
        <v>12400</v>
      </c>
      <c r="U185" s="4">
        <f t="shared" si="84"/>
        <v>0</v>
      </c>
      <c r="V185" s="38">
        <f t="shared" si="85"/>
        <v>0</v>
      </c>
      <c r="W185" s="39">
        <f t="shared" si="86"/>
        <v>0</v>
      </c>
      <c r="X185" s="4">
        <f t="shared" si="87"/>
        <v>0</v>
      </c>
      <c r="Y185" s="4">
        <f t="shared" si="88"/>
        <v>9100.52</v>
      </c>
      <c r="Z185" s="4">
        <f t="shared" si="89"/>
        <v>4560</v>
      </c>
      <c r="AA185" s="4">
        <f t="shared" si="90"/>
        <v>1240</v>
      </c>
      <c r="AB185" s="4">
        <f t="shared" si="91"/>
        <v>0</v>
      </c>
      <c r="AC185" s="38">
        <f t="shared" si="96"/>
        <v>14900.52</v>
      </c>
      <c r="AD185" s="40">
        <f t="shared" si="101"/>
        <v>0.23320000000000074</v>
      </c>
    </row>
    <row r="186" spans="1:30" x14ac:dyDescent="0.3">
      <c r="A186" s="32">
        <f t="shared" si="102"/>
        <v>83500</v>
      </c>
      <c r="B186" s="33">
        <f t="shared" si="70"/>
        <v>0</v>
      </c>
      <c r="C186" s="33">
        <f t="shared" si="71"/>
        <v>83500</v>
      </c>
      <c r="D186" s="34">
        <f t="shared" si="72"/>
        <v>0</v>
      </c>
      <c r="E186" s="32">
        <f t="shared" si="73"/>
        <v>36000</v>
      </c>
      <c r="F186" s="33">
        <f t="shared" si="94"/>
        <v>101500</v>
      </c>
      <c r="G186" s="33">
        <f t="shared" si="74"/>
        <v>4500</v>
      </c>
      <c r="H186" s="33">
        <f t="shared" si="75"/>
        <v>26100</v>
      </c>
      <c r="I186" s="33">
        <f t="shared" si="99"/>
        <v>30600</v>
      </c>
      <c r="J186" s="42">
        <f t="shared" si="100"/>
        <v>0</v>
      </c>
      <c r="K186" s="33">
        <f t="shared" si="97"/>
        <v>114100</v>
      </c>
      <c r="L186" s="33">
        <f t="shared" si="77"/>
        <v>21804</v>
      </c>
      <c r="M186" s="32">
        <f t="shared" si="95"/>
        <v>92296</v>
      </c>
      <c r="N186" s="33">
        <f t="shared" si="78"/>
        <v>0</v>
      </c>
      <c r="O186" s="34">
        <f t="shared" si="98"/>
        <v>92296</v>
      </c>
      <c r="P186" s="32">
        <f t="shared" si="79"/>
        <v>0</v>
      </c>
      <c r="Q186" s="33">
        <f t="shared" si="80"/>
        <v>0</v>
      </c>
      <c r="R186" s="33">
        <f t="shared" si="81"/>
        <v>41896</v>
      </c>
      <c r="S186" s="33">
        <f t="shared" si="82"/>
        <v>38000</v>
      </c>
      <c r="T186" s="33">
        <f t="shared" si="83"/>
        <v>12400</v>
      </c>
      <c r="U186" s="4">
        <f t="shared" si="84"/>
        <v>0</v>
      </c>
      <c r="V186" s="38">
        <f t="shared" si="85"/>
        <v>0</v>
      </c>
      <c r="W186" s="39">
        <f t="shared" si="86"/>
        <v>0</v>
      </c>
      <c r="X186" s="4">
        <f t="shared" si="87"/>
        <v>0</v>
      </c>
      <c r="Y186" s="4">
        <f t="shared" si="88"/>
        <v>9217.1200000000008</v>
      </c>
      <c r="Z186" s="4">
        <f t="shared" si="89"/>
        <v>4560</v>
      </c>
      <c r="AA186" s="4">
        <f t="shared" si="90"/>
        <v>1240</v>
      </c>
      <c r="AB186" s="4">
        <f t="shared" si="91"/>
        <v>0</v>
      </c>
      <c r="AC186" s="38">
        <f t="shared" si="96"/>
        <v>15017.12</v>
      </c>
      <c r="AD186" s="40">
        <f t="shared" si="101"/>
        <v>0.23319999999999708</v>
      </c>
    </row>
    <row r="187" spans="1:30" x14ac:dyDescent="0.3">
      <c r="A187" s="32">
        <f t="shared" si="102"/>
        <v>84000</v>
      </c>
      <c r="B187" s="33">
        <f t="shared" si="70"/>
        <v>0</v>
      </c>
      <c r="C187" s="33">
        <f t="shared" si="71"/>
        <v>84000</v>
      </c>
      <c r="D187" s="34">
        <f t="shared" si="72"/>
        <v>0</v>
      </c>
      <c r="E187" s="32">
        <f t="shared" si="73"/>
        <v>36000</v>
      </c>
      <c r="F187" s="33">
        <f t="shared" si="94"/>
        <v>102000</v>
      </c>
      <c r="G187" s="33">
        <f t="shared" si="74"/>
        <v>4500</v>
      </c>
      <c r="H187" s="33">
        <f t="shared" si="75"/>
        <v>26100</v>
      </c>
      <c r="I187" s="33">
        <f t="shared" si="99"/>
        <v>30600</v>
      </c>
      <c r="J187" s="42">
        <f t="shared" si="100"/>
        <v>0</v>
      </c>
      <c r="K187" s="33">
        <f t="shared" si="97"/>
        <v>114600</v>
      </c>
      <c r="L187" s="33">
        <f t="shared" si="77"/>
        <v>21774</v>
      </c>
      <c r="M187" s="32">
        <f t="shared" si="95"/>
        <v>92826</v>
      </c>
      <c r="N187" s="33">
        <f t="shared" si="78"/>
        <v>0</v>
      </c>
      <c r="O187" s="34">
        <f t="shared" si="98"/>
        <v>92826</v>
      </c>
      <c r="P187" s="32">
        <f t="shared" si="79"/>
        <v>0</v>
      </c>
      <c r="Q187" s="33">
        <f t="shared" si="80"/>
        <v>0</v>
      </c>
      <c r="R187" s="33">
        <f t="shared" si="81"/>
        <v>42426</v>
      </c>
      <c r="S187" s="33">
        <f t="shared" si="82"/>
        <v>38000</v>
      </c>
      <c r="T187" s="33">
        <f t="shared" si="83"/>
        <v>12400</v>
      </c>
      <c r="U187" s="4">
        <f t="shared" si="84"/>
        <v>0</v>
      </c>
      <c r="V187" s="38">
        <f t="shared" si="85"/>
        <v>0</v>
      </c>
      <c r="W187" s="39">
        <f t="shared" si="86"/>
        <v>0</v>
      </c>
      <c r="X187" s="4">
        <f t="shared" si="87"/>
        <v>0</v>
      </c>
      <c r="Y187" s="4">
        <f t="shared" si="88"/>
        <v>9333.7199999999993</v>
      </c>
      <c r="Z187" s="4">
        <f t="shared" si="89"/>
        <v>4560</v>
      </c>
      <c r="AA187" s="4">
        <f t="shared" si="90"/>
        <v>1240</v>
      </c>
      <c r="AB187" s="4">
        <f t="shared" si="91"/>
        <v>0</v>
      </c>
      <c r="AC187" s="38">
        <f t="shared" si="96"/>
        <v>15133.72</v>
      </c>
      <c r="AD187" s="40">
        <f t="shared" si="101"/>
        <v>0.23320000000000074</v>
      </c>
    </row>
    <row r="188" spans="1:30" x14ac:dyDescent="0.3">
      <c r="A188" s="32">
        <f t="shared" si="102"/>
        <v>84500</v>
      </c>
      <c r="B188" s="33">
        <f t="shared" si="70"/>
        <v>0</v>
      </c>
      <c r="C188" s="33">
        <f t="shared" si="71"/>
        <v>84500</v>
      </c>
      <c r="D188" s="34">
        <f t="shared" si="72"/>
        <v>0</v>
      </c>
      <c r="E188" s="32">
        <f t="shared" si="73"/>
        <v>36000</v>
      </c>
      <c r="F188" s="33">
        <f t="shared" si="94"/>
        <v>102500</v>
      </c>
      <c r="G188" s="33">
        <f t="shared" si="74"/>
        <v>4500</v>
      </c>
      <c r="H188" s="33">
        <f t="shared" si="75"/>
        <v>26100</v>
      </c>
      <c r="I188" s="33">
        <f t="shared" si="99"/>
        <v>30600</v>
      </c>
      <c r="J188" s="42">
        <f t="shared" si="100"/>
        <v>0</v>
      </c>
      <c r="K188" s="33">
        <f t="shared" si="97"/>
        <v>115100</v>
      </c>
      <c r="L188" s="33">
        <f t="shared" si="77"/>
        <v>21744</v>
      </c>
      <c r="M188" s="32">
        <f t="shared" si="95"/>
        <v>93356</v>
      </c>
      <c r="N188" s="33">
        <f t="shared" si="78"/>
        <v>0</v>
      </c>
      <c r="O188" s="34">
        <f t="shared" si="98"/>
        <v>93356</v>
      </c>
      <c r="P188" s="32">
        <f t="shared" si="79"/>
        <v>0</v>
      </c>
      <c r="Q188" s="33">
        <f t="shared" si="80"/>
        <v>0</v>
      </c>
      <c r="R188" s="33">
        <f t="shared" si="81"/>
        <v>42956</v>
      </c>
      <c r="S188" s="33">
        <f t="shared" si="82"/>
        <v>38000</v>
      </c>
      <c r="T188" s="33">
        <f t="shared" si="83"/>
        <v>12400</v>
      </c>
      <c r="U188" s="4">
        <f t="shared" si="84"/>
        <v>0</v>
      </c>
      <c r="V188" s="38">
        <f t="shared" si="85"/>
        <v>0</v>
      </c>
      <c r="W188" s="39">
        <f t="shared" si="86"/>
        <v>0</v>
      </c>
      <c r="X188" s="4">
        <f t="shared" si="87"/>
        <v>0</v>
      </c>
      <c r="Y188" s="4">
        <f t="shared" si="88"/>
        <v>9450.32</v>
      </c>
      <c r="Z188" s="4">
        <f t="shared" si="89"/>
        <v>4560</v>
      </c>
      <c r="AA188" s="4">
        <f t="shared" si="90"/>
        <v>1240</v>
      </c>
      <c r="AB188" s="4">
        <f t="shared" si="91"/>
        <v>0</v>
      </c>
      <c r="AC188" s="38">
        <f t="shared" si="96"/>
        <v>15250.32</v>
      </c>
      <c r="AD188" s="40">
        <f t="shared" si="101"/>
        <v>0.23320000000000074</v>
      </c>
    </row>
    <row r="189" spans="1:30" x14ac:dyDescent="0.3">
      <c r="A189" s="32">
        <f t="shared" si="102"/>
        <v>85000</v>
      </c>
      <c r="B189" s="33">
        <f t="shared" si="70"/>
        <v>0</v>
      </c>
      <c r="C189" s="33">
        <f t="shared" si="71"/>
        <v>85000</v>
      </c>
      <c r="D189" s="34">
        <f t="shared" si="72"/>
        <v>0</v>
      </c>
      <c r="E189" s="32">
        <f t="shared" si="73"/>
        <v>36000</v>
      </c>
      <c r="F189" s="33">
        <f t="shared" si="94"/>
        <v>103000</v>
      </c>
      <c r="G189" s="33">
        <f t="shared" si="74"/>
        <v>4500</v>
      </c>
      <c r="H189" s="33">
        <f t="shared" si="75"/>
        <v>26100</v>
      </c>
      <c r="I189" s="33">
        <f t="shared" si="99"/>
        <v>30600</v>
      </c>
      <c r="J189" s="42">
        <f t="shared" si="100"/>
        <v>0</v>
      </c>
      <c r="K189" s="33">
        <f t="shared" si="97"/>
        <v>115600</v>
      </c>
      <c r="L189" s="33">
        <f t="shared" si="77"/>
        <v>21714</v>
      </c>
      <c r="M189" s="32">
        <f t="shared" si="95"/>
        <v>93886</v>
      </c>
      <c r="N189" s="33">
        <f t="shared" si="78"/>
        <v>0</v>
      </c>
      <c r="O189" s="34">
        <f t="shared" si="98"/>
        <v>93886</v>
      </c>
      <c r="P189" s="32">
        <f t="shared" si="79"/>
        <v>0</v>
      </c>
      <c r="Q189" s="33">
        <f t="shared" si="80"/>
        <v>0</v>
      </c>
      <c r="R189" s="33">
        <f t="shared" si="81"/>
        <v>43486</v>
      </c>
      <c r="S189" s="33">
        <f t="shared" si="82"/>
        <v>38000</v>
      </c>
      <c r="T189" s="33">
        <f t="shared" si="83"/>
        <v>12400</v>
      </c>
      <c r="U189" s="4">
        <f t="shared" si="84"/>
        <v>0</v>
      </c>
      <c r="V189" s="38">
        <f t="shared" si="85"/>
        <v>0</v>
      </c>
      <c r="W189" s="39">
        <f t="shared" si="86"/>
        <v>0</v>
      </c>
      <c r="X189" s="4">
        <f t="shared" si="87"/>
        <v>0</v>
      </c>
      <c r="Y189" s="4">
        <f t="shared" si="88"/>
        <v>9566.92</v>
      </c>
      <c r="Z189" s="4">
        <f t="shared" si="89"/>
        <v>4560</v>
      </c>
      <c r="AA189" s="4">
        <f t="shared" si="90"/>
        <v>1240</v>
      </c>
      <c r="AB189" s="4">
        <f t="shared" si="91"/>
        <v>0</v>
      </c>
      <c r="AC189" s="38">
        <f t="shared" si="96"/>
        <v>15366.92</v>
      </c>
      <c r="AD189" s="40">
        <f t="shared" si="101"/>
        <v>0.23320000000000074</v>
      </c>
    </row>
    <row r="190" spans="1:30" x14ac:dyDescent="0.3">
      <c r="A190" s="32">
        <f t="shared" si="102"/>
        <v>85500</v>
      </c>
      <c r="B190" s="33">
        <f t="shared" si="70"/>
        <v>0</v>
      </c>
      <c r="C190" s="33">
        <f t="shared" si="71"/>
        <v>85500</v>
      </c>
      <c r="D190" s="34">
        <f t="shared" si="72"/>
        <v>0</v>
      </c>
      <c r="E190" s="32">
        <f t="shared" si="73"/>
        <v>36000</v>
      </c>
      <c r="F190" s="33">
        <f t="shared" si="94"/>
        <v>103500</v>
      </c>
      <c r="G190" s="33">
        <f t="shared" si="74"/>
        <v>4500</v>
      </c>
      <c r="H190" s="33">
        <f t="shared" si="75"/>
        <v>26100</v>
      </c>
      <c r="I190" s="33">
        <f t="shared" si="99"/>
        <v>30600</v>
      </c>
      <c r="J190" s="42">
        <f t="shared" si="100"/>
        <v>0</v>
      </c>
      <c r="K190" s="33">
        <f t="shared" si="97"/>
        <v>116100</v>
      </c>
      <c r="L190" s="33">
        <f t="shared" si="77"/>
        <v>21684</v>
      </c>
      <c r="M190" s="32">
        <f t="shared" si="95"/>
        <v>94416</v>
      </c>
      <c r="N190" s="33">
        <f t="shared" si="78"/>
        <v>0</v>
      </c>
      <c r="O190" s="34">
        <f t="shared" si="98"/>
        <v>94416</v>
      </c>
      <c r="P190" s="32">
        <f t="shared" si="79"/>
        <v>0</v>
      </c>
      <c r="Q190" s="33">
        <f t="shared" si="80"/>
        <v>0</v>
      </c>
      <c r="R190" s="33">
        <f t="shared" si="81"/>
        <v>44016</v>
      </c>
      <c r="S190" s="33">
        <f t="shared" si="82"/>
        <v>38000</v>
      </c>
      <c r="T190" s="33">
        <f t="shared" si="83"/>
        <v>12400</v>
      </c>
      <c r="U190" s="4">
        <f t="shared" si="84"/>
        <v>0</v>
      </c>
      <c r="V190" s="38">
        <f t="shared" si="85"/>
        <v>0</v>
      </c>
      <c r="W190" s="39">
        <f t="shared" si="86"/>
        <v>0</v>
      </c>
      <c r="X190" s="4">
        <f t="shared" si="87"/>
        <v>0</v>
      </c>
      <c r="Y190" s="4">
        <f t="shared" si="88"/>
        <v>9683.52</v>
      </c>
      <c r="Z190" s="4">
        <f t="shared" si="89"/>
        <v>4560</v>
      </c>
      <c r="AA190" s="4">
        <f t="shared" si="90"/>
        <v>1240</v>
      </c>
      <c r="AB190" s="4">
        <f t="shared" si="91"/>
        <v>0</v>
      </c>
      <c r="AC190" s="38">
        <f t="shared" si="96"/>
        <v>15483.52</v>
      </c>
      <c r="AD190" s="40">
        <f t="shared" si="101"/>
        <v>0.23320000000000074</v>
      </c>
    </row>
    <row r="191" spans="1:30" x14ac:dyDescent="0.3">
      <c r="A191" s="32">
        <f t="shared" si="102"/>
        <v>86000</v>
      </c>
      <c r="B191" s="33">
        <f t="shared" si="70"/>
        <v>0</v>
      </c>
      <c r="C191" s="33">
        <f t="shared" si="71"/>
        <v>86000</v>
      </c>
      <c r="D191" s="34">
        <f t="shared" si="72"/>
        <v>0</v>
      </c>
      <c r="E191" s="32">
        <f t="shared" si="73"/>
        <v>36000</v>
      </c>
      <c r="F191" s="33">
        <f t="shared" si="94"/>
        <v>104000</v>
      </c>
      <c r="G191" s="33">
        <f t="shared" si="74"/>
        <v>4500</v>
      </c>
      <c r="H191" s="33">
        <f t="shared" si="75"/>
        <v>26100</v>
      </c>
      <c r="I191" s="33">
        <f t="shared" si="99"/>
        <v>30600</v>
      </c>
      <c r="J191" s="42">
        <f t="shared" si="100"/>
        <v>0</v>
      </c>
      <c r="K191" s="33">
        <f t="shared" si="97"/>
        <v>116600</v>
      </c>
      <c r="L191" s="33">
        <f t="shared" si="77"/>
        <v>21654</v>
      </c>
      <c r="M191" s="32">
        <f t="shared" si="95"/>
        <v>94946</v>
      </c>
      <c r="N191" s="33">
        <f t="shared" si="78"/>
        <v>0</v>
      </c>
      <c r="O191" s="34">
        <f t="shared" si="98"/>
        <v>94946</v>
      </c>
      <c r="P191" s="32">
        <f t="shared" si="79"/>
        <v>0</v>
      </c>
      <c r="Q191" s="33">
        <f t="shared" si="80"/>
        <v>0</v>
      </c>
      <c r="R191" s="33">
        <f t="shared" si="81"/>
        <v>44546</v>
      </c>
      <c r="S191" s="33">
        <f t="shared" si="82"/>
        <v>38000</v>
      </c>
      <c r="T191" s="33">
        <f t="shared" si="83"/>
        <v>12400</v>
      </c>
      <c r="U191" s="4">
        <f t="shared" si="84"/>
        <v>0</v>
      </c>
      <c r="V191" s="38">
        <f t="shared" si="85"/>
        <v>0</v>
      </c>
      <c r="W191" s="39">
        <f t="shared" si="86"/>
        <v>0</v>
      </c>
      <c r="X191" s="4">
        <f t="shared" si="87"/>
        <v>0</v>
      </c>
      <c r="Y191" s="4">
        <f t="shared" si="88"/>
        <v>9800.1200000000008</v>
      </c>
      <c r="Z191" s="4">
        <f t="shared" si="89"/>
        <v>4560</v>
      </c>
      <c r="AA191" s="4">
        <f t="shared" si="90"/>
        <v>1240</v>
      </c>
      <c r="AB191" s="4">
        <f t="shared" si="91"/>
        <v>0</v>
      </c>
      <c r="AC191" s="38">
        <f t="shared" si="96"/>
        <v>15600.12</v>
      </c>
      <c r="AD191" s="40">
        <f t="shared" si="101"/>
        <v>0.23319999999999708</v>
      </c>
    </row>
    <row r="192" spans="1:30" x14ac:dyDescent="0.3">
      <c r="A192" s="32">
        <f t="shared" si="102"/>
        <v>86500</v>
      </c>
      <c r="B192" s="33">
        <f t="shared" si="70"/>
        <v>0</v>
      </c>
      <c r="C192" s="33">
        <f t="shared" si="71"/>
        <v>86500</v>
      </c>
      <c r="D192" s="34">
        <f t="shared" si="72"/>
        <v>0</v>
      </c>
      <c r="E192" s="32">
        <f t="shared" si="73"/>
        <v>36000</v>
      </c>
      <c r="F192" s="33">
        <f t="shared" si="94"/>
        <v>104500</v>
      </c>
      <c r="G192" s="33">
        <f t="shared" si="74"/>
        <v>4500</v>
      </c>
      <c r="H192" s="33">
        <f t="shared" si="75"/>
        <v>26100</v>
      </c>
      <c r="I192" s="33">
        <f t="shared" si="99"/>
        <v>30600</v>
      </c>
      <c r="J192" s="42">
        <f t="shared" si="100"/>
        <v>0</v>
      </c>
      <c r="K192" s="33">
        <f t="shared" si="97"/>
        <v>117100</v>
      </c>
      <c r="L192" s="33">
        <f t="shared" si="77"/>
        <v>21624</v>
      </c>
      <c r="M192" s="32">
        <f t="shared" si="95"/>
        <v>95476</v>
      </c>
      <c r="N192" s="33">
        <f t="shared" si="78"/>
        <v>0</v>
      </c>
      <c r="O192" s="34">
        <f t="shared" si="98"/>
        <v>95476</v>
      </c>
      <c r="P192" s="32">
        <f t="shared" si="79"/>
        <v>0</v>
      </c>
      <c r="Q192" s="33">
        <f t="shared" si="80"/>
        <v>0</v>
      </c>
      <c r="R192" s="33">
        <f t="shared" si="81"/>
        <v>45076</v>
      </c>
      <c r="S192" s="33">
        <f t="shared" si="82"/>
        <v>38000</v>
      </c>
      <c r="T192" s="33">
        <f t="shared" si="83"/>
        <v>12400</v>
      </c>
      <c r="U192" s="4">
        <f t="shared" si="84"/>
        <v>0</v>
      </c>
      <c r="V192" s="38">
        <f t="shared" si="85"/>
        <v>0</v>
      </c>
      <c r="W192" s="39">
        <f t="shared" si="86"/>
        <v>0</v>
      </c>
      <c r="X192" s="4">
        <f t="shared" si="87"/>
        <v>0</v>
      </c>
      <c r="Y192" s="4">
        <f t="shared" si="88"/>
        <v>9916.7199999999993</v>
      </c>
      <c r="Z192" s="4">
        <f t="shared" si="89"/>
        <v>4560</v>
      </c>
      <c r="AA192" s="4">
        <f t="shared" si="90"/>
        <v>1240</v>
      </c>
      <c r="AB192" s="4">
        <f t="shared" si="91"/>
        <v>0</v>
      </c>
      <c r="AC192" s="38">
        <f t="shared" si="96"/>
        <v>15716.72</v>
      </c>
      <c r="AD192" s="40">
        <f t="shared" si="101"/>
        <v>0.23320000000000074</v>
      </c>
    </row>
    <row r="193" spans="1:30" x14ac:dyDescent="0.3">
      <c r="A193" s="32">
        <f t="shared" si="102"/>
        <v>87000</v>
      </c>
      <c r="B193" s="33">
        <f t="shared" si="70"/>
        <v>0</v>
      </c>
      <c r="C193" s="33">
        <f t="shared" si="71"/>
        <v>87000</v>
      </c>
      <c r="D193" s="34">
        <f t="shared" si="72"/>
        <v>0</v>
      </c>
      <c r="E193" s="32">
        <f t="shared" si="73"/>
        <v>36000</v>
      </c>
      <c r="F193" s="33">
        <f t="shared" si="94"/>
        <v>105000</v>
      </c>
      <c r="G193" s="33">
        <f t="shared" si="74"/>
        <v>4500</v>
      </c>
      <c r="H193" s="33">
        <f t="shared" si="75"/>
        <v>26100</v>
      </c>
      <c r="I193" s="33">
        <f t="shared" si="99"/>
        <v>30600</v>
      </c>
      <c r="J193" s="42">
        <f t="shared" si="100"/>
        <v>0</v>
      </c>
      <c r="K193" s="33">
        <f t="shared" si="97"/>
        <v>117600</v>
      </c>
      <c r="L193" s="33">
        <f t="shared" si="77"/>
        <v>21594</v>
      </c>
      <c r="M193" s="32">
        <f t="shared" si="95"/>
        <v>96006</v>
      </c>
      <c r="N193" s="33">
        <f t="shared" si="78"/>
        <v>0</v>
      </c>
      <c r="O193" s="34">
        <f t="shared" si="98"/>
        <v>96006</v>
      </c>
      <c r="P193" s="32">
        <f t="shared" si="79"/>
        <v>0</v>
      </c>
      <c r="Q193" s="33">
        <f t="shared" si="80"/>
        <v>0</v>
      </c>
      <c r="R193" s="33">
        <f t="shared" si="81"/>
        <v>45606</v>
      </c>
      <c r="S193" s="33">
        <f t="shared" si="82"/>
        <v>38000</v>
      </c>
      <c r="T193" s="33">
        <f t="shared" si="83"/>
        <v>12400</v>
      </c>
      <c r="U193" s="4">
        <f t="shared" si="84"/>
        <v>0</v>
      </c>
      <c r="V193" s="38">
        <f t="shared" si="85"/>
        <v>0</v>
      </c>
      <c r="W193" s="39">
        <f t="shared" si="86"/>
        <v>0</v>
      </c>
      <c r="X193" s="4">
        <f t="shared" si="87"/>
        <v>0</v>
      </c>
      <c r="Y193" s="4">
        <f t="shared" si="88"/>
        <v>10033.32</v>
      </c>
      <c r="Z193" s="4">
        <f t="shared" si="89"/>
        <v>4560</v>
      </c>
      <c r="AA193" s="4">
        <f t="shared" si="90"/>
        <v>1240</v>
      </c>
      <c r="AB193" s="4">
        <f t="shared" si="91"/>
        <v>0</v>
      </c>
      <c r="AC193" s="38">
        <f t="shared" si="96"/>
        <v>15833.32</v>
      </c>
      <c r="AD193" s="40">
        <f t="shared" si="101"/>
        <v>0.23320000000000074</v>
      </c>
    </row>
    <row r="194" spans="1:30" x14ac:dyDescent="0.3">
      <c r="A194" s="32">
        <f t="shared" si="102"/>
        <v>87500</v>
      </c>
      <c r="B194" s="33">
        <f t="shared" si="70"/>
        <v>0</v>
      </c>
      <c r="C194" s="33">
        <f t="shared" si="71"/>
        <v>87500</v>
      </c>
      <c r="D194" s="34">
        <f t="shared" si="72"/>
        <v>0</v>
      </c>
      <c r="E194" s="32">
        <f t="shared" si="73"/>
        <v>36000</v>
      </c>
      <c r="F194" s="33">
        <f t="shared" si="94"/>
        <v>105500</v>
      </c>
      <c r="G194" s="33">
        <f t="shared" si="74"/>
        <v>4500</v>
      </c>
      <c r="H194" s="33">
        <f t="shared" si="75"/>
        <v>26100</v>
      </c>
      <c r="I194" s="33">
        <f t="shared" si="99"/>
        <v>30600</v>
      </c>
      <c r="J194" s="42">
        <f t="shared" si="100"/>
        <v>0</v>
      </c>
      <c r="K194" s="33">
        <f t="shared" si="97"/>
        <v>118100</v>
      </c>
      <c r="L194" s="33">
        <f t="shared" si="77"/>
        <v>21564</v>
      </c>
      <c r="M194" s="32">
        <f t="shared" si="95"/>
        <v>96536</v>
      </c>
      <c r="N194" s="33">
        <f t="shared" si="78"/>
        <v>0</v>
      </c>
      <c r="O194" s="34">
        <f t="shared" si="98"/>
        <v>96536</v>
      </c>
      <c r="P194" s="32">
        <f t="shared" si="79"/>
        <v>0</v>
      </c>
      <c r="Q194" s="33">
        <f t="shared" si="80"/>
        <v>0</v>
      </c>
      <c r="R194" s="33">
        <f t="shared" si="81"/>
        <v>46136</v>
      </c>
      <c r="S194" s="33">
        <f t="shared" si="82"/>
        <v>38000</v>
      </c>
      <c r="T194" s="33">
        <f t="shared" si="83"/>
        <v>12400</v>
      </c>
      <c r="U194" s="4">
        <f t="shared" si="84"/>
        <v>0</v>
      </c>
      <c r="V194" s="38">
        <f t="shared" si="85"/>
        <v>0</v>
      </c>
      <c r="W194" s="39">
        <f t="shared" si="86"/>
        <v>0</v>
      </c>
      <c r="X194" s="4">
        <f t="shared" si="87"/>
        <v>0</v>
      </c>
      <c r="Y194" s="4">
        <f t="shared" si="88"/>
        <v>10149.92</v>
      </c>
      <c r="Z194" s="4">
        <f t="shared" si="89"/>
        <v>4560</v>
      </c>
      <c r="AA194" s="4">
        <f t="shared" si="90"/>
        <v>1240</v>
      </c>
      <c r="AB194" s="4">
        <f t="shared" si="91"/>
        <v>0</v>
      </c>
      <c r="AC194" s="38">
        <f t="shared" si="96"/>
        <v>15949.92</v>
      </c>
      <c r="AD194" s="40">
        <f t="shared" si="101"/>
        <v>0.23320000000000074</v>
      </c>
    </row>
    <row r="195" spans="1:30" x14ac:dyDescent="0.3">
      <c r="A195" s="32">
        <f t="shared" si="102"/>
        <v>88000</v>
      </c>
      <c r="B195" s="33">
        <f t="shared" si="70"/>
        <v>0</v>
      </c>
      <c r="C195" s="33">
        <f t="shared" si="71"/>
        <v>88000</v>
      </c>
      <c r="D195" s="34">
        <f t="shared" si="72"/>
        <v>0</v>
      </c>
      <c r="E195" s="32">
        <f t="shared" si="73"/>
        <v>36000</v>
      </c>
      <c r="F195" s="33">
        <f t="shared" si="94"/>
        <v>106000</v>
      </c>
      <c r="G195" s="33">
        <f t="shared" si="74"/>
        <v>4500</v>
      </c>
      <c r="H195" s="33">
        <f t="shared" si="75"/>
        <v>26100</v>
      </c>
      <c r="I195" s="33">
        <f t="shared" si="99"/>
        <v>30600</v>
      </c>
      <c r="J195" s="42">
        <f t="shared" si="100"/>
        <v>0</v>
      </c>
      <c r="K195" s="33">
        <f t="shared" si="97"/>
        <v>118600</v>
      </c>
      <c r="L195" s="33">
        <f t="shared" si="77"/>
        <v>21534</v>
      </c>
      <c r="M195" s="32">
        <f t="shared" si="95"/>
        <v>97066</v>
      </c>
      <c r="N195" s="33">
        <f t="shared" si="78"/>
        <v>0</v>
      </c>
      <c r="O195" s="34">
        <f t="shared" si="98"/>
        <v>97066</v>
      </c>
      <c r="P195" s="32">
        <f t="shared" si="79"/>
        <v>0</v>
      </c>
      <c r="Q195" s="33">
        <f t="shared" si="80"/>
        <v>0</v>
      </c>
      <c r="R195" s="33">
        <f t="shared" si="81"/>
        <v>46666</v>
      </c>
      <c r="S195" s="33">
        <f t="shared" si="82"/>
        <v>38000</v>
      </c>
      <c r="T195" s="33">
        <f t="shared" si="83"/>
        <v>12400</v>
      </c>
      <c r="U195" s="4">
        <f t="shared" si="84"/>
        <v>0</v>
      </c>
      <c r="V195" s="38">
        <f t="shared" si="85"/>
        <v>0</v>
      </c>
      <c r="W195" s="39">
        <f t="shared" si="86"/>
        <v>0</v>
      </c>
      <c r="X195" s="4">
        <f t="shared" si="87"/>
        <v>0</v>
      </c>
      <c r="Y195" s="4">
        <f t="shared" si="88"/>
        <v>10266.52</v>
      </c>
      <c r="Z195" s="4">
        <f t="shared" si="89"/>
        <v>4560</v>
      </c>
      <c r="AA195" s="4">
        <f t="shared" si="90"/>
        <v>1240</v>
      </c>
      <c r="AB195" s="4">
        <f t="shared" si="91"/>
        <v>0</v>
      </c>
      <c r="AC195" s="38">
        <f t="shared" si="96"/>
        <v>16066.52</v>
      </c>
      <c r="AD195" s="40">
        <f t="shared" si="101"/>
        <v>0.23320000000000074</v>
      </c>
    </row>
    <row r="196" spans="1:30" x14ac:dyDescent="0.3">
      <c r="A196" s="32">
        <f t="shared" si="102"/>
        <v>88500</v>
      </c>
      <c r="B196" s="33">
        <f t="shared" si="70"/>
        <v>0</v>
      </c>
      <c r="C196" s="33">
        <f t="shared" si="71"/>
        <v>88500</v>
      </c>
      <c r="D196" s="34">
        <f t="shared" si="72"/>
        <v>0</v>
      </c>
      <c r="E196" s="32">
        <f t="shared" si="73"/>
        <v>36000</v>
      </c>
      <c r="F196" s="33">
        <f t="shared" si="94"/>
        <v>106500</v>
      </c>
      <c r="G196" s="33">
        <f t="shared" si="74"/>
        <v>4500</v>
      </c>
      <c r="H196" s="33">
        <f t="shared" si="75"/>
        <v>26100</v>
      </c>
      <c r="I196" s="33">
        <f t="shared" si="99"/>
        <v>30600</v>
      </c>
      <c r="J196" s="42">
        <f t="shared" si="100"/>
        <v>0</v>
      </c>
      <c r="K196" s="33">
        <f t="shared" si="97"/>
        <v>119100</v>
      </c>
      <c r="L196" s="33">
        <f t="shared" si="77"/>
        <v>21504</v>
      </c>
      <c r="M196" s="32">
        <f t="shared" si="95"/>
        <v>97596</v>
      </c>
      <c r="N196" s="33">
        <f t="shared" si="78"/>
        <v>0</v>
      </c>
      <c r="O196" s="34">
        <f t="shared" si="98"/>
        <v>97596</v>
      </c>
      <c r="P196" s="32">
        <f t="shared" si="79"/>
        <v>0</v>
      </c>
      <c r="Q196" s="33">
        <f t="shared" si="80"/>
        <v>0</v>
      </c>
      <c r="R196" s="33">
        <f t="shared" si="81"/>
        <v>47196</v>
      </c>
      <c r="S196" s="33">
        <f t="shared" si="82"/>
        <v>38000</v>
      </c>
      <c r="T196" s="33">
        <f t="shared" si="83"/>
        <v>12400</v>
      </c>
      <c r="U196" s="4">
        <f t="shared" si="84"/>
        <v>0</v>
      </c>
      <c r="V196" s="38">
        <f t="shared" si="85"/>
        <v>0</v>
      </c>
      <c r="W196" s="39">
        <f t="shared" si="86"/>
        <v>0</v>
      </c>
      <c r="X196" s="4">
        <f t="shared" si="87"/>
        <v>0</v>
      </c>
      <c r="Y196" s="4">
        <f t="shared" si="88"/>
        <v>10383.120000000001</v>
      </c>
      <c r="Z196" s="4">
        <f t="shared" si="89"/>
        <v>4560</v>
      </c>
      <c r="AA196" s="4">
        <f t="shared" si="90"/>
        <v>1240</v>
      </c>
      <c r="AB196" s="4">
        <f t="shared" si="91"/>
        <v>0</v>
      </c>
      <c r="AC196" s="38">
        <f t="shared" si="96"/>
        <v>16183.12</v>
      </c>
      <c r="AD196" s="40">
        <f t="shared" si="101"/>
        <v>0.23319999999999708</v>
      </c>
    </row>
    <row r="197" spans="1:30" x14ac:dyDescent="0.3">
      <c r="A197" s="32">
        <f t="shared" si="102"/>
        <v>89000</v>
      </c>
      <c r="B197" s="33">
        <f t="shared" si="70"/>
        <v>0</v>
      </c>
      <c r="C197" s="33">
        <f t="shared" si="71"/>
        <v>89000</v>
      </c>
      <c r="D197" s="34">
        <f t="shared" si="72"/>
        <v>0</v>
      </c>
      <c r="E197" s="32">
        <f t="shared" si="73"/>
        <v>36000</v>
      </c>
      <c r="F197" s="33">
        <f t="shared" si="94"/>
        <v>107000</v>
      </c>
      <c r="G197" s="33">
        <f t="shared" si="74"/>
        <v>4500</v>
      </c>
      <c r="H197" s="33">
        <f t="shared" si="75"/>
        <v>26100</v>
      </c>
      <c r="I197" s="33">
        <f t="shared" si="99"/>
        <v>30600</v>
      </c>
      <c r="J197" s="42">
        <f t="shared" si="100"/>
        <v>0</v>
      </c>
      <c r="K197" s="33">
        <f t="shared" si="97"/>
        <v>119600</v>
      </c>
      <c r="L197" s="33">
        <f t="shared" si="77"/>
        <v>21474</v>
      </c>
      <c r="M197" s="32">
        <f t="shared" si="95"/>
        <v>98126</v>
      </c>
      <c r="N197" s="33">
        <f t="shared" si="78"/>
        <v>0</v>
      </c>
      <c r="O197" s="34">
        <f t="shared" si="98"/>
        <v>98126</v>
      </c>
      <c r="P197" s="32">
        <f t="shared" si="79"/>
        <v>0</v>
      </c>
      <c r="Q197" s="33">
        <f t="shared" si="80"/>
        <v>0</v>
      </c>
      <c r="R197" s="33">
        <f t="shared" si="81"/>
        <v>47726</v>
      </c>
      <c r="S197" s="33">
        <f t="shared" si="82"/>
        <v>38000</v>
      </c>
      <c r="T197" s="33">
        <f t="shared" si="83"/>
        <v>12400</v>
      </c>
      <c r="U197" s="4">
        <f t="shared" si="84"/>
        <v>0</v>
      </c>
      <c r="V197" s="38">
        <f t="shared" si="85"/>
        <v>0</v>
      </c>
      <c r="W197" s="39">
        <f t="shared" si="86"/>
        <v>0</v>
      </c>
      <c r="X197" s="4">
        <f t="shared" si="87"/>
        <v>0</v>
      </c>
      <c r="Y197" s="4">
        <f t="shared" si="88"/>
        <v>10499.72</v>
      </c>
      <c r="Z197" s="4">
        <f t="shared" si="89"/>
        <v>4560</v>
      </c>
      <c r="AA197" s="4">
        <f t="shared" si="90"/>
        <v>1240</v>
      </c>
      <c r="AB197" s="4">
        <f t="shared" si="91"/>
        <v>0</v>
      </c>
      <c r="AC197" s="38">
        <f t="shared" si="96"/>
        <v>16299.72</v>
      </c>
      <c r="AD197" s="40">
        <f t="shared" si="101"/>
        <v>0.23320000000000074</v>
      </c>
    </row>
    <row r="198" spans="1:30" x14ac:dyDescent="0.3">
      <c r="A198" s="32">
        <f t="shared" si="102"/>
        <v>89500</v>
      </c>
      <c r="B198" s="33">
        <f t="shared" si="70"/>
        <v>0</v>
      </c>
      <c r="C198" s="33">
        <f t="shared" si="71"/>
        <v>89500</v>
      </c>
      <c r="D198" s="34">
        <f t="shared" si="72"/>
        <v>0</v>
      </c>
      <c r="E198" s="32">
        <f t="shared" si="73"/>
        <v>36000</v>
      </c>
      <c r="F198" s="33">
        <f t="shared" si="94"/>
        <v>107500</v>
      </c>
      <c r="G198" s="33">
        <f t="shared" si="74"/>
        <v>4500</v>
      </c>
      <c r="H198" s="33">
        <f t="shared" si="75"/>
        <v>26100</v>
      </c>
      <c r="I198" s="33">
        <f t="shared" si="99"/>
        <v>30600</v>
      </c>
      <c r="J198" s="42">
        <f t="shared" si="100"/>
        <v>0</v>
      </c>
      <c r="K198" s="33">
        <f t="shared" si="97"/>
        <v>120100</v>
      </c>
      <c r="L198" s="33">
        <f t="shared" si="77"/>
        <v>21444</v>
      </c>
      <c r="M198" s="32">
        <f t="shared" si="95"/>
        <v>98656</v>
      </c>
      <c r="N198" s="33">
        <f t="shared" si="78"/>
        <v>0</v>
      </c>
      <c r="O198" s="34">
        <f t="shared" si="98"/>
        <v>98656</v>
      </c>
      <c r="P198" s="32">
        <f t="shared" si="79"/>
        <v>0</v>
      </c>
      <c r="Q198" s="33">
        <f t="shared" si="80"/>
        <v>0</v>
      </c>
      <c r="R198" s="33">
        <f t="shared" si="81"/>
        <v>48256</v>
      </c>
      <c r="S198" s="33">
        <f t="shared" si="82"/>
        <v>38000</v>
      </c>
      <c r="T198" s="33">
        <f t="shared" si="83"/>
        <v>12400</v>
      </c>
      <c r="U198" s="4">
        <f t="shared" si="84"/>
        <v>0</v>
      </c>
      <c r="V198" s="38">
        <f t="shared" si="85"/>
        <v>0</v>
      </c>
      <c r="W198" s="39">
        <f t="shared" si="86"/>
        <v>0</v>
      </c>
      <c r="X198" s="4">
        <f t="shared" si="87"/>
        <v>0</v>
      </c>
      <c r="Y198" s="4">
        <f t="shared" si="88"/>
        <v>10616.32</v>
      </c>
      <c r="Z198" s="4">
        <f t="shared" si="89"/>
        <v>4560</v>
      </c>
      <c r="AA198" s="4">
        <f t="shared" si="90"/>
        <v>1240</v>
      </c>
      <c r="AB198" s="4">
        <f t="shared" si="91"/>
        <v>0</v>
      </c>
      <c r="AC198" s="38">
        <f t="shared" si="96"/>
        <v>16416.32</v>
      </c>
      <c r="AD198" s="40">
        <f t="shared" si="101"/>
        <v>0.23319999999999708</v>
      </c>
    </row>
    <row r="199" spans="1:30" x14ac:dyDescent="0.3">
      <c r="A199" s="32">
        <f t="shared" si="102"/>
        <v>90000</v>
      </c>
      <c r="B199" s="33">
        <f t="shared" si="70"/>
        <v>0</v>
      </c>
      <c r="C199" s="33">
        <f t="shared" si="71"/>
        <v>90000</v>
      </c>
      <c r="D199" s="34">
        <f t="shared" si="72"/>
        <v>0</v>
      </c>
      <c r="E199" s="32">
        <f t="shared" si="73"/>
        <v>36000</v>
      </c>
      <c r="F199" s="33">
        <f t="shared" si="94"/>
        <v>108000</v>
      </c>
      <c r="G199" s="33">
        <f t="shared" si="74"/>
        <v>4500</v>
      </c>
      <c r="H199" s="33">
        <f t="shared" si="75"/>
        <v>26100</v>
      </c>
      <c r="I199" s="33">
        <f t="shared" si="99"/>
        <v>30600</v>
      </c>
      <c r="J199" s="42">
        <f t="shared" si="100"/>
        <v>0</v>
      </c>
      <c r="K199" s="33">
        <f t="shared" si="97"/>
        <v>120600</v>
      </c>
      <c r="L199" s="33">
        <f t="shared" si="77"/>
        <v>21414</v>
      </c>
      <c r="M199" s="32">
        <f t="shared" si="95"/>
        <v>99186</v>
      </c>
      <c r="N199" s="33">
        <f t="shared" si="78"/>
        <v>0</v>
      </c>
      <c r="O199" s="34">
        <f t="shared" si="98"/>
        <v>99186</v>
      </c>
      <c r="P199" s="32">
        <f t="shared" si="79"/>
        <v>0</v>
      </c>
      <c r="Q199" s="33">
        <f t="shared" si="80"/>
        <v>0</v>
      </c>
      <c r="R199" s="33">
        <f t="shared" si="81"/>
        <v>48786</v>
      </c>
      <c r="S199" s="33">
        <f t="shared" si="82"/>
        <v>38000</v>
      </c>
      <c r="T199" s="33">
        <f t="shared" si="83"/>
        <v>12400</v>
      </c>
      <c r="U199" s="4">
        <f t="shared" si="84"/>
        <v>0</v>
      </c>
      <c r="V199" s="38">
        <f t="shared" si="85"/>
        <v>0</v>
      </c>
      <c r="W199" s="39">
        <f t="shared" si="86"/>
        <v>0</v>
      </c>
      <c r="X199" s="4">
        <f t="shared" si="87"/>
        <v>0</v>
      </c>
      <c r="Y199" s="4">
        <f t="shared" si="88"/>
        <v>10732.92</v>
      </c>
      <c r="Z199" s="4">
        <f t="shared" si="89"/>
        <v>4560</v>
      </c>
      <c r="AA199" s="4">
        <f t="shared" si="90"/>
        <v>1240</v>
      </c>
      <c r="AB199" s="4">
        <f t="shared" si="91"/>
        <v>0</v>
      </c>
      <c r="AC199" s="38">
        <f t="shared" si="96"/>
        <v>16532.919999999998</v>
      </c>
      <c r="AD199" s="40">
        <f t="shared" si="101"/>
        <v>0.23320000000000438</v>
      </c>
    </row>
    <row r="200" spans="1:30" x14ac:dyDescent="0.3">
      <c r="A200" s="32">
        <f t="shared" si="102"/>
        <v>90500</v>
      </c>
      <c r="B200" s="33">
        <f t="shared" si="70"/>
        <v>0</v>
      </c>
      <c r="C200" s="33">
        <f t="shared" si="71"/>
        <v>90500</v>
      </c>
      <c r="D200" s="34">
        <f t="shared" si="72"/>
        <v>0</v>
      </c>
      <c r="E200" s="32">
        <f t="shared" si="73"/>
        <v>36000</v>
      </c>
      <c r="F200" s="33">
        <f t="shared" si="94"/>
        <v>108500</v>
      </c>
      <c r="G200" s="33">
        <f t="shared" si="74"/>
        <v>4500</v>
      </c>
      <c r="H200" s="33">
        <f t="shared" si="75"/>
        <v>26100</v>
      </c>
      <c r="I200" s="33">
        <f t="shared" si="99"/>
        <v>30600</v>
      </c>
      <c r="J200" s="42">
        <f t="shared" si="100"/>
        <v>0</v>
      </c>
      <c r="K200" s="33">
        <f t="shared" si="97"/>
        <v>121100</v>
      </c>
      <c r="L200" s="33">
        <f t="shared" si="77"/>
        <v>21384</v>
      </c>
      <c r="M200" s="32">
        <f t="shared" si="95"/>
        <v>99716</v>
      </c>
      <c r="N200" s="33">
        <f t="shared" si="78"/>
        <v>0</v>
      </c>
      <c r="O200" s="34">
        <f t="shared" si="98"/>
        <v>99716</v>
      </c>
      <c r="P200" s="32">
        <f t="shared" si="79"/>
        <v>0</v>
      </c>
      <c r="Q200" s="33">
        <f t="shared" si="80"/>
        <v>0</v>
      </c>
      <c r="R200" s="33">
        <f t="shared" si="81"/>
        <v>49316</v>
      </c>
      <c r="S200" s="33">
        <f t="shared" si="82"/>
        <v>38000</v>
      </c>
      <c r="T200" s="33">
        <f t="shared" si="83"/>
        <v>12400</v>
      </c>
      <c r="U200" s="4">
        <f t="shared" si="84"/>
        <v>0</v>
      </c>
      <c r="V200" s="38">
        <f t="shared" si="85"/>
        <v>0</v>
      </c>
      <c r="W200" s="39">
        <f t="shared" si="86"/>
        <v>0</v>
      </c>
      <c r="X200" s="4">
        <f t="shared" si="87"/>
        <v>0</v>
      </c>
      <c r="Y200" s="4">
        <f t="shared" si="88"/>
        <v>10849.52</v>
      </c>
      <c r="Z200" s="4">
        <f t="shared" si="89"/>
        <v>4560</v>
      </c>
      <c r="AA200" s="4">
        <f t="shared" si="90"/>
        <v>1240</v>
      </c>
      <c r="AB200" s="4">
        <f t="shared" si="91"/>
        <v>0</v>
      </c>
      <c r="AC200" s="38">
        <f t="shared" si="96"/>
        <v>16649.52</v>
      </c>
      <c r="AD200" s="40">
        <f t="shared" si="101"/>
        <v>0.23320000000000438</v>
      </c>
    </row>
    <row r="201" spans="1:30" x14ac:dyDescent="0.3">
      <c r="A201" s="32">
        <f t="shared" si="102"/>
        <v>91000</v>
      </c>
      <c r="B201" s="33">
        <f t="shared" si="70"/>
        <v>0</v>
      </c>
      <c r="C201" s="33">
        <f t="shared" si="71"/>
        <v>91000</v>
      </c>
      <c r="D201" s="34">
        <f t="shared" si="72"/>
        <v>0</v>
      </c>
      <c r="E201" s="32">
        <f t="shared" si="73"/>
        <v>36000</v>
      </c>
      <c r="F201" s="33">
        <f t="shared" si="94"/>
        <v>109000</v>
      </c>
      <c r="G201" s="33">
        <f t="shared" si="74"/>
        <v>4500</v>
      </c>
      <c r="H201" s="33">
        <f t="shared" si="75"/>
        <v>26100</v>
      </c>
      <c r="I201" s="33">
        <f t="shared" si="99"/>
        <v>30600</v>
      </c>
      <c r="J201" s="42">
        <f t="shared" si="100"/>
        <v>0</v>
      </c>
      <c r="K201" s="33">
        <f t="shared" si="97"/>
        <v>121600</v>
      </c>
      <c r="L201" s="33">
        <f t="shared" si="77"/>
        <v>21354</v>
      </c>
      <c r="M201" s="32">
        <f t="shared" si="95"/>
        <v>100246</v>
      </c>
      <c r="N201" s="33">
        <f t="shared" si="78"/>
        <v>0</v>
      </c>
      <c r="O201" s="34">
        <f t="shared" si="98"/>
        <v>100246</v>
      </c>
      <c r="P201" s="32">
        <f t="shared" si="79"/>
        <v>0</v>
      </c>
      <c r="Q201" s="33">
        <f t="shared" si="80"/>
        <v>0</v>
      </c>
      <c r="R201" s="33">
        <f t="shared" si="81"/>
        <v>49846</v>
      </c>
      <c r="S201" s="33">
        <f t="shared" si="82"/>
        <v>38000</v>
      </c>
      <c r="T201" s="33">
        <f t="shared" si="83"/>
        <v>12400</v>
      </c>
      <c r="U201" s="4">
        <f t="shared" si="84"/>
        <v>0</v>
      </c>
      <c r="V201" s="38">
        <f t="shared" si="85"/>
        <v>0</v>
      </c>
      <c r="W201" s="39">
        <f t="shared" si="86"/>
        <v>0</v>
      </c>
      <c r="X201" s="4">
        <f t="shared" si="87"/>
        <v>0</v>
      </c>
      <c r="Y201" s="4">
        <f t="shared" si="88"/>
        <v>10966.12</v>
      </c>
      <c r="Z201" s="4">
        <f t="shared" si="89"/>
        <v>4560</v>
      </c>
      <c r="AA201" s="4">
        <f t="shared" si="90"/>
        <v>1240</v>
      </c>
      <c r="AB201" s="4">
        <f t="shared" si="91"/>
        <v>0</v>
      </c>
      <c r="AC201" s="38">
        <f t="shared" si="96"/>
        <v>16766.120000000003</v>
      </c>
      <c r="AD201" s="40">
        <f t="shared" si="101"/>
        <v>0.23319999999999708</v>
      </c>
    </row>
    <row r="202" spans="1:30" x14ac:dyDescent="0.3">
      <c r="A202" s="32">
        <f t="shared" si="102"/>
        <v>91500</v>
      </c>
      <c r="B202" s="33">
        <f t="shared" si="70"/>
        <v>0</v>
      </c>
      <c r="C202" s="33">
        <f t="shared" si="71"/>
        <v>91500</v>
      </c>
      <c r="D202" s="34">
        <f t="shared" si="72"/>
        <v>0</v>
      </c>
      <c r="E202" s="32">
        <f t="shared" si="73"/>
        <v>36000</v>
      </c>
      <c r="F202" s="33">
        <f t="shared" si="94"/>
        <v>109500</v>
      </c>
      <c r="G202" s="33">
        <f t="shared" si="74"/>
        <v>4500</v>
      </c>
      <c r="H202" s="33">
        <f t="shared" si="75"/>
        <v>26100</v>
      </c>
      <c r="I202" s="33">
        <f t="shared" si="99"/>
        <v>30600</v>
      </c>
      <c r="J202" s="42">
        <f t="shared" si="100"/>
        <v>0</v>
      </c>
      <c r="K202" s="33">
        <f t="shared" si="97"/>
        <v>122100</v>
      </c>
      <c r="L202" s="33">
        <f t="shared" si="77"/>
        <v>21324</v>
      </c>
      <c r="M202" s="32">
        <f t="shared" si="95"/>
        <v>100776</v>
      </c>
      <c r="N202" s="33">
        <f t="shared" si="78"/>
        <v>0</v>
      </c>
      <c r="O202" s="34">
        <f t="shared" si="98"/>
        <v>100776</v>
      </c>
      <c r="P202" s="32">
        <f t="shared" si="79"/>
        <v>0</v>
      </c>
      <c r="Q202" s="33">
        <f t="shared" si="80"/>
        <v>0</v>
      </c>
      <c r="R202" s="33">
        <f t="shared" si="81"/>
        <v>50376</v>
      </c>
      <c r="S202" s="33">
        <f t="shared" si="82"/>
        <v>38000</v>
      </c>
      <c r="T202" s="33">
        <f t="shared" si="83"/>
        <v>12400</v>
      </c>
      <c r="U202" s="4">
        <f t="shared" si="84"/>
        <v>0</v>
      </c>
      <c r="V202" s="38">
        <f t="shared" si="85"/>
        <v>0</v>
      </c>
      <c r="W202" s="39">
        <f t="shared" si="86"/>
        <v>0</v>
      </c>
      <c r="X202" s="4">
        <f t="shared" si="87"/>
        <v>0</v>
      </c>
      <c r="Y202" s="4">
        <f t="shared" si="88"/>
        <v>11082.72</v>
      </c>
      <c r="Z202" s="4">
        <f t="shared" si="89"/>
        <v>4560</v>
      </c>
      <c r="AA202" s="4">
        <f t="shared" si="90"/>
        <v>1240</v>
      </c>
      <c r="AB202" s="4">
        <f t="shared" si="91"/>
        <v>0</v>
      </c>
      <c r="AC202" s="38">
        <f t="shared" si="96"/>
        <v>16882.72</v>
      </c>
      <c r="AD202" s="40">
        <f t="shared" si="101"/>
        <v>0.23319999999999708</v>
      </c>
    </row>
    <row r="203" spans="1:30" x14ac:dyDescent="0.3">
      <c r="A203" s="32">
        <f t="shared" si="102"/>
        <v>92000</v>
      </c>
      <c r="B203" s="33">
        <f t="shared" si="70"/>
        <v>0</v>
      </c>
      <c r="C203" s="33">
        <f t="shared" si="71"/>
        <v>92000</v>
      </c>
      <c r="D203" s="34">
        <f t="shared" si="72"/>
        <v>0</v>
      </c>
      <c r="E203" s="32">
        <f t="shared" si="73"/>
        <v>36000</v>
      </c>
      <c r="F203" s="33">
        <f t="shared" si="94"/>
        <v>110000</v>
      </c>
      <c r="G203" s="33">
        <f t="shared" si="74"/>
        <v>4500</v>
      </c>
      <c r="H203" s="33">
        <f t="shared" si="75"/>
        <v>26100</v>
      </c>
      <c r="I203" s="33">
        <f t="shared" si="99"/>
        <v>30600</v>
      </c>
      <c r="J203" s="42">
        <f t="shared" si="100"/>
        <v>0</v>
      </c>
      <c r="K203" s="33">
        <f t="shared" si="97"/>
        <v>122600</v>
      </c>
      <c r="L203" s="33">
        <f t="shared" si="77"/>
        <v>21294</v>
      </c>
      <c r="M203" s="32">
        <f t="shared" si="95"/>
        <v>101306</v>
      </c>
      <c r="N203" s="33">
        <f t="shared" si="78"/>
        <v>0</v>
      </c>
      <c r="O203" s="34">
        <f t="shared" si="98"/>
        <v>101306</v>
      </c>
      <c r="P203" s="32">
        <f t="shared" si="79"/>
        <v>0</v>
      </c>
      <c r="Q203" s="33">
        <f t="shared" si="80"/>
        <v>0</v>
      </c>
      <c r="R203" s="33">
        <f t="shared" si="81"/>
        <v>50906</v>
      </c>
      <c r="S203" s="33">
        <f t="shared" si="82"/>
        <v>38000</v>
      </c>
      <c r="T203" s="33">
        <f t="shared" si="83"/>
        <v>12400</v>
      </c>
      <c r="U203" s="4">
        <f t="shared" si="84"/>
        <v>0</v>
      </c>
      <c r="V203" s="38">
        <f t="shared" si="85"/>
        <v>0</v>
      </c>
      <c r="W203" s="39">
        <f t="shared" si="86"/>
        <v>0</v>
      </c>
      <c r="X203" s="4">
        <f t="shared" si="87"/>
        <v>0</v>
      </c>
      <c r="Y203" s="4">
        <f t="shared" si="88"/>
        <v>11199.32</v>
      </c>
      <c r="Z203" s="4">
        <f t="shared" si="89"/>
        <v>4560</v>
      </c>
      <c r="AA203" s="4">
        <f t="shared" si="90"/>
        <v>1240</v>
      </c>
      <c r="AB203" s="4">
        <f t="shared" si="91"/>
        <v>0</v>
      </c>
      <c r="AC203" s="38">
        <f t="shared" si="96"/>
        <v>16999.32</v>
      </c>
      <c r="AD203" s="40">
        <f t="shared" si="101"/>
        <v>0.23319999999999708</v>
      </c>
    </row>
    <row r="204" spans="1:30" x14ac:dyDescent="0.3">
      <c r="A204" s="32">
        <f t="shared" si="102"/>
        <v>92500</v>
      </c>
      <c r="B204" s="33">
        <f t="shared" si="70"/>
        <v>0</v>
      </c>
      <c r="C204" s="33">
        <f t="shared" si="71"/>
        <v>92500</v>
      </c>
      <c r="D204" s="34">
        <f t="shared" si="72"/>
        <v>0</v>
      </c>
      <c r="E204" s="32">
        <f t="shared" si="73"/>
        <v>36000</v>
      </c>
      <c r="F204" s="33">
        <f t="shared" si="94"/>
        <v>110500</v>
      </c>
      <c r="G204" s="33">
        <f t="shared" si="74"/>
        <v>4500</v>
      </c>
      <c r="H204" s="33">
        <f t="shared" si="75"/>
        <v>26100</v>
      </c>
      <c r="I204" s="33">
        <f t="shared" si="99"/>
        <v>30600</v>
      </c>
      <c r="J204" s="42">
        <f t="shared" si="100"/>
        <v>0</v>
      </c>
      <c r="K204" s="33">
        <f t="shared" si="97"/>
        <v>123100</v>
      </c>
      <c r="L204" s="33">
        <f t="shared" si="77"/>
        <v>21264</v>
      </c>
      <c r="M204" s="32">
        <f t="shared" si="95"/>
        <v>101836</v>
      </c>
      <c r="N204" s="33">
        <f t="shared" si="78"/>
        <v>0</v>
      </c>
      <c r="O204" s="34">
        <f t="shared" si="98"/>
        <v>101836</v>
      </c>
      <c r="P204" s="32">
        <f t="shared" si="79"/>
        <v>0</v>
      </c>
      <c r="Q204" s="33">
        <f t="shared" si="80"/>
        <v>0</v>
      </c>
      <c r="R204" s="33">
        <f t="shared" si="81"/>
        <v>51436</v>
      </c>
      <c r="S204" s="33">
        <f t="shared" si="82"/>
        <v>38000</v>
      </c>
      <c r="T204" s="33">
        <f t="shared" si="83"/>
        <v>12400</v>
      </c>
      <c r="U204" s="4">
        <f t="shared" si="84"/>
        <v>0</v>
      </c>
      <c r="V204" s="38">
        <f t="shared" si="85"/>
        <v>0</v>
      </c>
      <c r="W204" s="39">
        <f t="shared" si="86"/>
        <v>0</v>
      </c>
      <c r="X204" s="4">
        <f t="shared" si="87"/>
        <v>0</v>
      </c>
      <c r="Y204" s="4">
        <f t="shared" si="88"/>
        <v>11315.92</v>
      </c>
      <c r="Z204" s="4">
        <f t="shared" si="89"/>
        <v>4560</v>
      </c>
      <c r="AA204" s="4">
        <f t="shared" si="90"/>
        <v>1240</v>
      </c>
      <c r="AB204" s="4">
        <f t="shared" si="91"/>
        <v>0</v>
      </c>
      <c r="AC204" s="38">
        <f t="shared" si="96"/>
        <v>17115.919999999998</v>
      </c>
      <c r="AD204" s="40">
        <f t="shared" si="101"/>
        <v>0.23320000000000438</v>
      </c>
    </row>
    <row r="205" spans="1:30" x14ac:dyDescent="0.3">
      <c r="A205" s="32">
        <f t="shared" si="102"/>
        <v>93000</v>
      </c>
      <c r="B205" s="33">
        <f t="shared" si="70"/>
        <v>0</v>
      </c>
      <c r="C205" s="33">
        <f t="shared" si="71"/>
        <v>93000</v>
      </c>
      <c r="D205" s="34">
        <f t="shared" si="72"/>
        <v>0</v>
      </c>
      <c r="E205" s="32">
        <f t="shared" si="73"/>
        <v>36000</v>
      </c>
      <c r="F205" s="33">
        <f t="shared" si="94"/>
        <v>111000</v>
      </c>
      <c r="G205" s="33">
        <f t="shared" si="74"/>
        <v>4500</v>
      </c>
      <c r="H205" s="33">
        <f t="shared" si="75"/>
        <v>26100</v>
      </c>
      <c r="I205" s="33">
        <f t="shared" si="99"/>
        <v>30600</v>
      </c>
      <c r="J205" s="42">
        <f t="shared" si="100"/>
        <v>0</v>
      </c>
      <c r="K205" s="33">
        <f t="shared" si="97"/>
        <v>123600</v>
      </c>
      <c r="L205" s="33">
        <f t="shared" si="77"/>
        <v>21234</v>
      </c>
      <c r="M205" s="32">
        <f t="shared" si="95"/>
        <v>102366</v>
      </c>
      <c r="N205" s="33">
        <f t="shared" si="78"/>
        <v>0</v>
      </c>
      <c r="O205" s="34">
        <f t="shared" si="98"/>
        <v>102366</v>
      </c>
      <c r="P205" s="32">
        <f t="shared" si="79"/>
        <v>0</v>
      </c>
      <c r="Q205" s="33">
        <f t="shared" si="80"/>
        <v>0</v>
      </c>
      <c r="R205" s="33">
        <f t="shared" si="81"/>
        <v>51966</v>
      </c>
      <c r="S205" s="33">
        <f t="shared" si="82"/>
        <v>38000</v>
      </c>
      <c r="T205" s="33">
        <f t="shared" si="83"/>
        <v>12400</v>
      </c>
      <c r="U205" s="4">
        <f t="shared" si="84"/>
        <v>0</v>
      </c>
      <c r="V205" s="38">
        <f t="shared" si="85"/>
        <v>0</v>
      </c>
      <c r="W205" s="39">
        <f t="shared" si="86"/>
        <v>0</v>
      </c>
      <c r="X205" s="4">
        <f t="shared" si="87"/>
        <v>0</v>
      </c>
      <c r="Y205" s="4">
        <f t="shared" si="88"/>
        <v>11432.52</v>
      </c>
      <c r="Z205" s="4">
        <f t="shared" si="89"/>
        <v>4560</v>
      </c>
      <c r="AA205" s="4">
        <f t="shared" si="90"/>
        <v>1240</v>
      </c>
      <c r="AB205" s="4">
        <f t="shared" si="91"/>
        <v>0</v>
      </c>
      <c r="AC205" s="38">
        <f t="shared" si="96"/>
        <v>17232.52</v>
      </c>
      <c r="AD205" s="40">
        <f t="shared" si="101"/>
        <v>0.23320000000000438</v>
      </c>
    </row>
    <row r="206" spans="1:30" x14ac:dyDescent="0.3">
      <c r="A206" s="32">
        <f t="shared" si="102"/>
        <v>93500</v>
      </c>
      <c r="B206" s="33">
        <f t="shared" si="70"/>
        <v>0</v>
      </c>
      <c r="C206" s="33">
        <f t="shared" si="71"/>
        <v>93500</v>
      </c>
      <c r="D206" s="34">
        <f t="shared" si="72"/>
        <v>0</v>
      </c>
      <c r="E206" s="32">
        <f t="shared" si="73"/>
        <v>36000</v>
      </c>
      <c r="F206" s="33">
        <f t="shared" si="94"/>
        <v>111500</v>
      </c>
      <c r="G206" s="33">
        <f t="shared" si="74"/>
        <v>4500</v>
      </c>
      <c r="H206" s="33">
        <f t="shared" si="75"/>
        <v>26100</v>
      </c>
      <c r="I206" s="33">
        <f t="shared" si="99"/>
        <v>30600</v>
      </c>
      <c r="J206" s="42">
        <f t="shared" si="100"/>
        <v>0</v>
      </c>
      <c r="K206" s="33">
        <f t="shared" si="97"/>
        <v>124100</v>
      </c>
      <c r="L206" s="33">
        <f t="shared" si="77"/>
        <v>21204</v>
      </c>
      <c r="M206" s="32">
        <f t="shared" si="95"/>
        <v>102896</v>
      </c>
      <c r="N206" s="33">
        <f t="shared" si="78"/>
        <v>0</v>
      </c>
      <c r="O206" s="34">
        <f t="shared" si="98"/>
        <v>102896</v>
      </c>
      <c r="P206" s="32">
        <f t="shared" si="79"/>
        <v>0</v>
      </c>
      <c r="Q206" s="33">
        <f t="shared" si="80"/>
        <v>0</v>
      </c>
      <c r="R206" s="33">
        <f t="shared" si="81"/>
        <v>52496</v>
      </c>
      <c r="S206" s="33">
        <f t="shared" si="82"/>
        <v>38000</v>
      </c>
      <c r="T206" s="33">
        <f t="shared" si="83"/>
        <v>12400</v>
      </c>
      <c r="U206" s="4">
        <f t="shared" si="84"/>
        <v>0</v>
      </c>
      <c r="V206" s="38">
        <f t="shared" si="85"/>
        <v>0</v>
      </c>
      <c r="W206" s="39">
        <f t="shared" si="86"/>
        <v>0</v>
      </c>
      <c r="X206" s="4">
        <f t="shared" si="87"/>
        <v>0</v>
      </c>
      <c r="Y206" s="4">
        <f t="shared" si="88"/>
        <v>11549.12</v>
      </c>
      <c r="Z206" s="4">
        <f t="shared" si="89"/>
        <v>4560</v>
      </c>
      <c r="AA206" s="4">
        <f t="shared" si="90"/>
        <v>1240</v>
      </c>
      <c r="AB206" s="4">
        <f t="shared" si="91"/>
        <v>0</v>
      </c>
      <c r="AC206" s="38">
        <f t="shared" si="96"/>
        <v>17349.120000000003</v>
      </c>
      <c r="AD206" s="40">
        <f t="shared" si="101"/>
        <v>0.23319999999999708</v>
      </c>
    </row>
    <row r="207" spans="1:30" x14ac:dyDescent="0.3">
      <c r="A207" s="32">
        <f t="shared" si="102"/>
        <v>94000</v>
      </c>
      <c r="B207" s="33">
        <f t="shared" si="70"/>
        <v>0</v>
      </c>
      <c r="C207" s="33">
        <f t="shared" si="71"/>
        <v>94000</v>
      </c>
      <c r="D207" s="34">
        <f t="shared" si="72"/>
        <v>0</v>
      </c>
      <c r="E207" s="32">
        <f t="shared" si="73"/>
        <v>36000</v>
      </c>
      <c r="F207" s="33">
        <f t="shared" si="94"/>
        <v>112000</v>
      </c>
      <c r="G207" s="33">
        <f t="shared" si="74"/>
        <v>4500</v>
      </c>
      <c r="H207" s="33">
        <f t="shared" si="75"/>
        <v>26100</v>
      </c>
      <c r="I207" s="33">
        <f t="shared" si="99"/>
        <v>30600</v>
      </c>
      <c r="J207" s="42">
        <f t="shared" si="100"/>
        <v>0</v>
      </c>
      <c r="K207" s="33">
        <f t="shared" si="97"/>
        <v>124600</v>
      </c>
      <c r="L207" s="33">
        <f t="shared" si="77"/>
        <v>21174</v>
      </c>
      <c r="M207" s="32">
        <f t="shared" si="95"/>
        <v>103426</v>
      </c>
      <c r="N207" s="33">
        <f t="shared" si="78"/>
        <v>0</v>
      </c>
      <c r="O207" s="34">
        <f t="shared" si="98"/>
        <v>103426</v>
      </c>
      <c r="P207" s="32">
        <f t="shared" si="79"/>
        <v>0</v>
      </c>
      <c r="Q207" s="33">
        <f t="shared" si="80"/>
        <v>0</v>
      </c>
      <c r="R207" s="33">
        <f t="shared" si="81"/>
        <v>53026</v>
      </c>
      <c r="S207" s="33">
        <f t="shared" si="82"/>
        <v>38000</v>
      </c>
      <c r="T207" s="33">
        <f t="shared" si="83"/>
        <v>12400</v>
      </c>
      <c r="U207" s="4">
        <f t="shared" si="84"/>
        <v>0</v>
      </c>
      <c r="V207" s="38">
        <f t="shared" si="85"/>
        <v>0</v>
      </c>
      <c r="W207" s="39">
        <f t="shared" si="86"/>
        <v>0</v>
      </c>
      <c r="X207" s="4">
        <f t="shared" si="87"/>
        <v>0</v>
      </c>
      <c r="Y207" s="4">
        <f t="shared" si="88"/>
        <v>11665.72</v>
      </c>
      <c r="Z207" s="4">
        <f t="shared" si="89"/>
        <v>4560</v>
      </c>
      <c r="AA207" s="4">
        <f t="shared" si="90"/>
        <v>1240</v>
      </c>
      <c r="AB207" s="4">
        <f t="shared" si="91"/>
        <v>0</v>
      </c>
      <c r="AC207" s="38">
        <f t="shared" si="96"/>
        <v>17465.72</v>
      </c>
      <c r="AD207" s="40">
        <f t="shared" si="101"/>
        <v>0.23319999999999708</v>
      </c>
    </row>
    <row r="208" spans="1:30" x14ac:dyDescent="0.3">
      <c r="A208" s="32">
        <f t="shared" si="102"/>
        <v>94500</v>
      </c>
      <c r="B208" s="33">
        <f t="shared" si="70"/>
        <v>0</v>
      </c>
      <c r="C208" s="33">
        <f t="shared" si="71"/>
        <v>94500</v>
      </c>
      <c r="D208" s="34">
        <f t="shared" si="72"/>
        <v>0</v>
      </c>
      <c r="E208" s="32">
        <f t="shared" si="73"/>
        <v>36000</v>
      </c>
      <c r="F208" s="33">
        <f t="shared" si="94"/>
        <v>112500</v>
      </c>
      <c r="G208" s="33">
        <f t="shared" si="74"/>
        <v>4500</v>
      </c>
      <c r="H208" s="33">
        <f t="shared" si="75"/>
        <v>26100</v>
      </c>
      <c r="I208" s="33">
        <f t="shared" si="99"/>
        <v>30600</v>
      </c>
      <c r="J208" s="42">
        <f t="shared" si="100"/>
        <v>0</v>
      </c>
      <c r="K208" s="33">
        <f t="shared" si="97"/>
        <v>125100</v>
      </c>
      <c r="L208" s="33">
        <f t="shared" si="77"/>
        <v>21144</v>
      </c>
      <c r="M208" s="32">
        <f t="shared" si="95"/>
        <v>103956</v>
      </c>
      <c r="N208" s="33">
        <f t="shared" si="78"/>
        <v>0</v>
      </c>
      <c r="O208" s="34">
        <f t="shared" si="98"/>
        <v>103956</v>
      </c>
      <c r="P208" s="32">
        <f t="shared" si="79"/>
        <v>0</v>
      </c>
      <c r="Q208" s="33">
        <f t="shared" si="80"/>
        <v>0</v>
      </c>
      <c r="R208" s="33">
        <f t="shared" si="81"/>
        <v>53556</v>
      </c>
      <c r="S208" s="33">
        <f t="shared" si="82"/>
        <v>38000</v>
      </c>
      <c r="T208" s="33">
        <f t="shared" si="83"/>
        <v>12400</v>
      </c>
      <c r="U208" s="4">
        <f t="shared" si="84"/>
        <v>0</v>
      </c>
      <c r="V208" s="38">
        <f t="shared" si="85"/>
        <v>0</v>
      </c>
      <c r="W208" s="39">
        <f t="shared" si="86"/>
        <v>0</v>
      </c>
      <c r="X208" s="4">
        <f t="shared" si="87"/>
        <v>0</v>
      </c>
      <c r="Y208" s="4">
        <f t="shared" si="88"/>
        <v>11782.32</v>
      </c>
      <c r="Z208" s="4">
        <f t="shared" si="89"/>
        <v>4560</v>
      </c>
      <c r="AA208" s="4">
        <f t="shared" si="90"/>
        <v>1240</v>
      </c>
      <c r="AB208" s="4">
        <f t="shared" si="91"/>
        <v>0</v>
      </c>
      <c r="AC208" s="38">
        <f t="shared" si="96"/>
        <v>17582.32</v>
      </c>
      <c r="AD208" s="40">
        <f t="shared" si="101"/>
        <v>0.23319999999999708</v>
      </c>
    </row>
    <row r="209" spans="1:30" x14ac:dyDescent="0.3">
      <c r="A209" s="32">
        <f t="shared" si="102"/>
        <v>95000</v>
      </c>
      <c r="B209" s="33">
        <f t="shared" si="70"/>
        <v>0</v>
      </c>
      <c r="C209" s="33">
        <f t="shared" si="71"/>
        <v>95000</v>
      </c>
      <c r="D209" s="34">
        <f t="shared" si="72"/>
        <v>0</v>
      </c>
      <c r="E209" s="32">
        <f t="shared" si="73"/>
        <v>36000</v>
      </c>
      <c r="F209" s="33">
        <f t="shared" si="94"/>
        <v>113000</v>
      </c>
      <c r="G209" s="33">
        <f t="shared" si="74"/>
        <v>4500</v>
      </c>
      <c r="H209" s="33">
        <f t="shared" si="75"/>
        <v>26100</v>
      </c>
      <c r="I209" s="33">
        <f t="shared" si="99"/>
        <v>30600</v>
      </c>
      <c r="J209" s="42">
        <f t="shared" si="100"/>
        <v>0</v>
      </c>
      <c r="K209" s="33">
        <f t="shared" si="97"/>
        <v>125600</v>
      </c>
      <c r="L209" s="33">
        <f t="shared" si="77"/>
        <v>21114</v>
      </c>
      <c r="M209" s="32">
        <f t="shared" si="95"/>
        <v>104486</v>
      </c>
      <c r="N209" s="33">
        <f t="shared" si="78"/>
        <v>0</v>
      </c>
      <c r="O209" s="34">
        <f t="shared" si="98"/>
        <v>104486</v>
      </c>
      <c r="P209" s="32">
        <f t="shared" si="79"/>
        <v>0</v>
      </c>
      <c r="Q209" s="33">
        <f t="shared" si="80"/>
        <v>0</v>
      </c>
      <c r="R209" s="33">
        <f t="shared" si="81"/>
        <v>54086</v>
      </c>
      <c r="S209" s="33">
        <f t="shared" si="82"/>
        <v>38000</v>
      </c>
      <c r="T209" s="33">
        <f t="shared" si="83"/>
        <v>12400</v>
      </c>
      <c r="U209" s="4">
        <f t="shared" si="84"/>
        <v>0</v>
      </c>
      <c r="V209" s="38">
        <f t="shared" si="85"/>
        <v>0</v>
      </c>
      <c r="W209" s="39">
        <f t="shared" si="86"/>
        <v>0</v>
      </c>
      <c r="X209" s="4">
        <f t="shared" si="87"/>
        <v>0</v>
      </c>
      <c r="Y209" s="4">
        <f t="shared" si="88"/>
        <v>11898.92</v>
      </c>
      <c r="Z209" s="4">
        <f t="shared" si="89"/>
        <v>4560</v>
      </c>
      <c r="AA209" s="4">
        <f t="shared" si="90"/>
        <v>1240</v>
      </c>
      <c r="AB209" s="4">
        <f t="shared" si="91"/>
        <v>0</v>
      </c>
      <c r="AC209" s="38">
        <f t="shared" si="96"/>
        <v>17698.919999999998</v>
      </c>
      <c r="AD209" s="40">
        <f t="shared" si="101"/>
        <v>0.23320000000000438</v>
      </c>
    </row>
    <row r="210" spans="1:30" x14ac:dyDescent="0.3">
      <c r="A210" s="32">
        <f t="shared" si="102"/>
        <v>95500</v>
      </c>
      <c r="B210" s="33">
        <f t="shared" si="70"/>
        <v>0</v>
      </c>
      <c r="C210" s="33">
        <f t="shared" si="71"/>
        <v>95500</v>
      </c>
      <c r="D210" s="34">
        <f t="shared" si="72"/>
        <v>0</v>
      </c>
      <c r="E210" s="32">
        <f t="shared" si="73"/>
        <v>36000</v>
      </c>
      <c r="F210" s="33">
        <f t="shared" si="94"/>
        <v>113500</v>
      </c>
      <c r="G210" s="33">
        <f t="shared" si="74"/>
        <v>4500</v>
      </c>
      <c r="H210" s="33">
        <f t="shared" si="75"/>
        <v>26100</v>
      </c>
      <c r="I210" s="33">
        <f t="shared" si="99"/>
        <v>30600</v>
      </c>
      <c r="J210" s="42">
        <f t="shared" si="100"/>
        <v>0</v>
      </c>
      <c r="K210" s="33">
        <f t="shared" si="97"/>
        <v>126100</v>
      </c>
      <c r="L210" s="33">
        <f t="shared" si="77"/>
        <v>21084</v>
      </c>
      <c r="M210" s="32">
        <f t="shared" si="95"/>
        <v>105016</v>
      </c>
      <c r="N210" s="33">
        <f t="shared" si="78"/>
        <v>0</v>
      </c>
      <c r="O210" s="34">
        <f t="shared" si="98"/>
        <v>105016</v>
      </c>
      <c r="P210" s="32">
        <f t="shared" si="79"/>
        <v>0</v>
      </c>
      <c r="Q210" s="33">
        <f t="shared" si="80"/>
        <v>0</v>
      </c>
      <c r="R210" s="33">
        <f t="shared" si="81"/>
        <v>54616</v>
      </c>
      <c r="S210" s="33">
        <f t="shared" si="82"/>
        <v>38000</v>
      </c>
      <c r="T210" s="33">
        <f t="shared" si="83"/>
        <v>12400</v>
      </c>
      <c r="U210" s="4">
        <f t="shared" si="84"/>
        <v>0</v>
      </c>
      <c r="V210" s="38">
        <f t="shared" si="85"/>
        <v>0</v>
      </c>
      <c r="W210" s="39">
        <f t="shared" si="86"/>
        <v>0</v>
      </c>
      <c r="X210" s="4">
        <f t="shared" si="87"/>
        <v>0</v>
      </c>
      <c r="Y210" s="4">
        <f t="shared" si="88"/>
        <v>12015.52</v>
      </c>
      <c r="Z210" s="4">
        <f t="shared" si="89"/>
        <v>4560</v>
      </c>
      <c r="AA210" s="4">
        <f t="shared" si="90"/>
        <v>1240</v>
      </c>
      <c r="AB210" s="4">
        <f t="shared" si="91"/>
        <v>0</v>
      </c>
      <c r="AC210" s="38">
        <f t="shared" si="96"/>
        <v>17815.52</v>
      </c>
      <c r="AD210" s="40">
        <f t="shared" si="101"/>
        <v>0.23320000000000438</v>
      </c>
    </row>
    <row r="211" spans="1:30" x14ac:dyDescent="0.3">
      <c r="A211" s="32">
        <f t="shared" si="102"/>
        <v>96000</v>
      </c>
      <c r="B211" s="33">
        <f t="shared" ref="B211:B219" si="103">IF(B$10=1,A211,B$4)</f>
        <v>0</v>
      </c>
      <c r="C211" s="33">
        <f t="shared" ref="C211:C219" si="104">IF(B$10=2,A211,B$5)</f>
        <v>96000</v>
      </c>
      <c r="D211" s="34">
        <f t="shared" ref="D211:D219" si="105">IF(B$10=3,A211,B$6)</f>
        <v>0</v>
      </c>
      <c r="E211" s="32">
        <f t="shared" ref="E211:E219" si="106">IF(B$10=4,A211,B$7)</f>
        <v>36000</v>
      </c>
      <c r="F211" s="33">
        <f t="shared" si="94"/>
        <v>114000</v>
      </c>
      <c r="G211" s="33">
        <f t="shared" ref="G211:G219" si="107">MIN(50%*E211,MAX(0,50%*MIN(N$5-N$4,F211-N$4)))</f>
        <v>4500</v>
      </c>
      <c r="H211" s="33">
        <f t="shared" ref="H211:H219" si="108">MIN(85%*E211-G211,85%*MAX(0,F211-N$5))</f>
        <v>26100</v>
      </c>
      <c r="I211" s="33">
        <f t="shared" si="99"/>
        <v>30600</v>
      </c>
      <c r="J211" s="42">
        <f t="shared" ref="J211:J218" si="109">(I212-I211)/B$12</f>
        <v>0</v>
      </c>
      <c r="K211" s="33">
        <f t="shared" si="97"/>
        <v>126600</v>
      </c>
      <c r="L211" s="33">
        <f t="shared" ref="L211:L219" si="110">N$2+N$3+IF(N$13=0,0,N$13*B$3*(1-MAX(0,MIN(1,(K211-N$14)/(N$15-N$14)))))</f>
        <v>21054</v>
      </c>
      <c r="M211" s="32">
        <f t="shared" si="95"/>
        <v>105546</v>
      </c>
      <c r="N211" s="33">
        <f t="shared" ref="N211:N219" si="111">MIN(D211,M211)</f>
        <v>0</v>
      </c>
      <c r="O211" s="34">
        <f t="shared" si="98"/>
        <v>105546</v>
      </c>
      <c r="P211" s="32">
        <f t="shared" ref="P211:P219" si="112">MAX(0,O211-N$10)</f>
        <v>0</v>
      </c>
      <c r="Q211" s="33">
        <f t="shared" ref="Q211:Q219" si="113">MAX(0,O211-N$9)-P211</f>
        <v>0</v>
      </c>
      <c r="R211" s="33">
        <f t="shared" ref="R211:R219" si="114">MAX(0,O211-N$8)-P211-Q211</f>
        <v>55146</v>
      </c>
      <c r="S211" s="33">
        <f t="shared" ref="S211:S219" si="115">MAX(0,O211-N$7)-P211-Q211-R211</f>
        <v>38000</v>
      </c>
      <c r="T211" s="33">
        <f t="shared" ref="T211:T219" si="116">MAX(0,O211-N$6)-P211-Q211-R211-S211</f>
        <v>12400</v>
      </c>
      <c r="U211" s="4">
        <f t="shared" ref="U211:U219" si="117">MAX(0,MIN(N211,M211-N$12))</f>
        <v>0</v>
      </c>
      <c r="V211" s="38">
        <f t="shared" ref="V211:V219" si="118">MAX(0,MIN(N211,M211-N$11))-U211</f>
        <v>0</v>
      </c>
      <c r="W211" s="39">
        <f t="shared" ref="W211:W219" si="119">P211*L$10</f>
        <v>0</v>
      </c>
      <c r="X211" s="4">
        <f t="shared" ref="X211:X219" si="120">Q211*L$9</f>
        <v>0</v>
      </c>
      <c r="Y211" s="4">
        <f t="shared" ref="Y211:Y219" si="121">R211*L$8</f>
        <v>12132.12</v>
      </c>
      <c r="Z211" s="4">
        <f t="shared" ref="Z211:Z219" si="122">S211*L$7</f>
        <v>4560</v>
      </c>
      <c r="AA211" s="4">
        <f t="shared" ref="AA211:AA219" si="123">T211*L$6</f>
        <v>1240</v>
      </c>
      <c r="AB211" s="4">
        <f t="shared" ref="AB211:AB219" si="124">U211*L$12</f>
        <v>0</v>
      </c>
      <c r="AC211" s="38">
        <f t="shared" si="96"/>
        <v>17932.120000000003</v>
      </c>
      <c r="AD211" s="40">
        <f t="shared" ref="AD211:AD218" si="125">(AC212-AC211)/B$12</f>
        <v>0.24823999999999069</v>
      </c>
    </row>
    <row r="212" spans="1:30" x14ac:dyDescent="0.3">
      <c r="A212" s="32">
        <f t="shared" ref="A212:A219" si="126">A211+B$12</f>
        <v>96500</v>
      </c>
      <c r="B212" s="33">
        <f t="shared" si="103"/>
        <v>0</v>
      </c>
      <c r="C212" s="33">
        <f t="shared" si="104"/>
        <v>96500</v>
      </c>
      <c r="D212" s="34">
        <f t="shared" si="105"/>
        <v>0</v>
      </c>
      <c r="E212" s="32">
        <f t="shared" si="106"/>
        <v>36000</v>
      </c>
      <c r="F212" s="33">
        <f t="shared" ref="F212:F219" si="127">B212+C212+D212+E212/2</f>
        <v>114500</v>
      </c>
      <c r="G212" s="33">
        <f t="shared" si="107"/>
        <v>4500</v>
      </c>
      <c r="H212" s="33">
        <f t="shared" si="108"/>
        <v>26100</v>
      </c>
      <c r="I212" s="33">
        <f t="shared" si="99"/>
        <v>30600</v>
      </c>
      <c r="J212" s="42">
        <f t="shared" si="109"/>
        <v>0</v>
      </c>
      <c r="K212" s="33">
        <f t="shared" si="97"/>
        <v>127100</v>
      </c>
      <c r="L212" s="33">
        <f t="shared" si="110"/>
        <v>21024</v>
      </c>
      <c r="M212" s="32">
        <f t="shared" ref="M212:M219" si="128">MAX(0,K212-L212)</f>
        <v>106076</v>
      </c>
      <c r="N212" s="33">
        <f t="shared" si="111"/>
        <v>0</v>
      </c>
      <c r="O212" s="34">
        <f t="shared" si="98"/>
        <v>106076</v>
      </c>
      <c r="P212" s="32">
        <f t="shared" si="112"/>
        <v>0</v>
      </c>
      <c r="Q212" s="33">
        <f t="shared" si="113"/>
        <v>376</v>
      </c>
      <c r="R212" s="33">
        <f t="shared" si="114"/>
        <v>55300</v>
      </c>
      <c r="S212" s="33">
        <f t="shared" si="115"/>
        <v>38000</v>
      </c>
      <c r="T212" s="33">
        <f t="shared" si="116"/>
        <v>12400</v>
      </c>
      <c r="U212" s="4">
        <f t="shared" si="117"/>
        <v>0</v>
      </c>
      <c r="V212" s="38">
        <f t="shared" si="118"/>
        <v>0</v>
      </c>
      <c r="W212" s="39">
        <f t="shared" si="119"/>
        <v>0</v>
      </c>
      <c r="X212" s="4">
        <f t="shared" si="120"/>
        <v>90.24</v>
      </c>
      <c r="Y212" s="4">
        <f t="shared" si="121"/>
        <v>12166</v>
      </c>
      <c r="Z212" s="4">
        <f t="shared" si="122"/>
        <v>4560</v>
      </c>
      <c r="AA212" s="4">
        <f t="shared" si="123"/>
        <v>1240</v>
      </c>
      <c r="AB212" s="4">
        <f t="shared" si="124"/>
        <v>0</v>
      </c>
      <c r="AC212" s="38">
        <f t="shared" ref="AC212:AC219" si="129">SUM(W212:AB212)</f>
        <v>18056.239999999998</v>
      </c>
      <c r="AD212" s="40">
        <f t="shared" si="125"/>
        <v>0.25440000000000873</v>
      </c>
    </row>
    <row r="213" spans="1:30" x14ac:dyDescent="0.3">
      <c r="A213" s="32">
        <f t="shared" si="126"/>
        <v>97000</v>
      </c>
      <c r="B213" s="33">
        <f t="shared" si="103"/>
        <v>0</v>
      </c>
      <c r="C213" s="33">
        <f t="shared" si="104"/>
        <v>97000</v>
      </c>
      <c r="D213" s="34">
        <f t="shared" si="105"/>
        <v>0</v>
      </c>
      <c r="E213" s="32">
        <f t="shared" si="106"/>
        <v>36000</v>
      </c>
      <c r="F213" s="33">
        <f t="shared" si="127"/>
        <v>115000</v>
      </c>
      <c r="G213" s="33">
        <f t="shared" si="107"/>
        <v>4500</v>
      </c>
      <c r="H213" s="33">
        <f t="shared" si="108"/>
        <v>26100</v>
      </c>
      <c r="I213" s="33">
        <f t="shared" si="99"/>
        <v>30600</v>
      </c>
      <c r="J213" s="42">
        <f t="shared" si="109"/>
        <v>0</v>
      </c>
      <c r="K213" s="33">
        <f t="shared" ref="K213:K219" si="130">C213+D213+I213</f>
        <v>127600</v>
      </c>
      <c r="L213" s="33">
        <f t="shared" si="110"/>
        <v>20994</v>
      </c>
      <c r="M213" s="32">
        <f t="shared" si="128"/>
        <v>106606</v>
      </c>
      <c r="N213" s="33">
        <f t="shared" si="111"/>
        <v>0</v>
      </c>
      <c r="O213" s="34">
        <f t="shared" si="98"/>
        <v>106606</v>
      </c>
      <c r="P213" s="32">
        <f t="shared" si="112"/>
        <v>0</v>
      </c>
      <c r="Q213" s="33">
        <f t="shared" si="113"/>
        <v>906</v>
      </c>
      <c r="R213" s="33">
        <f t="shared" si="114"/>
        <v>55300</v>
      </c>
      <c r="S213" s="33">
        <f t="shared" si="115"/>
        <v>38000</v>
      </c>
      <c r="T213" s="33">
        <f t="shared" si="116"/>
        <v>12400</v>
      </c>
      <c r="U213" s="4">
        <f t="shared" si="117"/>
        <v>0</v>
      </c>
      <c r="V213" s="38">
        <f t="shared" si="118"/>
        <v>0</v>
      </c>
      <c r="W213" s="39">
        <f t="shared" si="119"/>
        <v>0</v>
      </c>
      <c r="X213" s="4">
        <f t="shared" si="120"/>
        <v>217.44</v>
      </c>
      <c r="Y213" s="4">
        <f t="shared" si="121"/>
        <v>12166</v>
      </c>
      <c r="Z213" s="4">
        <f t="shared" si="122"/>
        <v>4560</v>
      </c>
      <c r="AA213" s="4">
        <f t="shared" si="123"/>
        <v>1240</v>
      </c>
      <c r="AB213" s="4">
        <f t="shared" si="124"/>
        <v>0</v>
      </c>
      <c r="AC213" s="38">
        <f t="shared" si="129"/>
        <v>18183.440000000002</v>
      </c>
      <c r="AD213" s="40">
        <f t="shared" si="125"/>
        <v>0.25439999999999419</v>
      </c>
    </row>
    <row r="214" spans="1:30" x14ac:dyDescent="0.3">
      <c r="A214" s="32">
        <f t="shared" si="126"/>
        <v>97500</v>
      </c>
      <c r="B214" s="33">
        <f t="shared" si="103"/>
        <v>0</v>
      </c>
      <c r="C214" s="33">
        <f t="shared" si="104"/>
        <v>97500</v>
      </c>
      <c r="D214" s="34">
        <f t="shared" si="105"/>
        <v>0</v>
      </c>
      <c r="E214" s="32">
        <f t="shared" si="106"/>
        <v>36000</v>
      </c>
      <c r="F214" s="33">
        <f t="shared" si="127"/>
        <v>115500</v>
      </c>
      <c r="G214" s="33">
        <f t="shared" si="107"/>
        <v>4500</v>
      </c>
      <c r="H214" s="33">
        <f t="shared" si="108"/>
        <v>26100</v>
      </c>
      <c r="I214" s="33">
        <f t="shared" si="99"/>
        <v>30600</v>
      </c>
      <c r="J214" s="42">
        <f t="shared" si="109"/>
        <v>0</v>
      </c>
      <c r="K214" s="33">
        <f t="shared" si="130"/>
        <v>128100</v>
      </c>
      <c r="L214" s="33">
        <f t="shared" si="110"/>
        <v>20964</v>
      </c>
      <c r="M214" s="32">
        <f t="shared" si="128"/>
        <v>107136</v>
      </c>
      <c r="N214" s="33">
        <f t="shared" si="111"/>
        <v>0</v>
      </c>
      <c r="O214" s="34">
        <f t="shared" si="98"/>
        <v>107136</v>
      </c>
      <c r="P214" s="32">
        <f t="shared" si="112"/>
        <v>0</v>
      </c>
      <c r="Q214" s="33">
        <f t="shared" si="113"/>
        <v>1436</v>
      </c>
      <c r="R214" s="33">
        <f t="shared" si="114"/>
        <v>55300</v>
      </c>
      <c r="S214" s="33">
        <f t="shared" si="115"/>
        <v>38000</v>
      </c>
      <c r="T214" s="33">
        <f t="shared" si="116"/>
        <v>12400</v>
      </c>
      <c r="U214" s="4">
        <f t="shared" si="117"/>
        <v>0</v>
      </c>
      <c r="V214" s="38">
        <f t="shared" si="118"/>
        <v>0</v>
      </c>
      <c r="W214" s="39">
        <f t="shared" si="119"/>
        <v>0</v>
      </c>
      <c r="X214" s="4">
        <f t="shared" si="120"/>
        <v>344.64</v>
      </c>
      <c r="Y214" s="4">
        <f t="shared" si="121"/>
        <v>12166</v>
      </c>
      <c r="Z214" s="4">
        <f t="shared" si="122"/>
        <v>4560</v>
      </c>
      <c r="AA214" s="4">
        <f t="shared" si="123"/>
        <v>1240</v>
      </c>
      <c r="AB214" s="4">
        <f t="shared" si="124"/>
        <v>0</v>
      </c>
      <c r="AC214" s="38">
        <f t="shared" si="129"/>
        <v>18310.64</v>
      </c>
      <c r="AD214" s="40">
        <f t="shared" si="125"/>
        <v>0.25440000000000146</v>
      </c>
    </row>
    <row r="215" spans="1:30" x14ac:dyDescent="0.3">
      <c r="A215" s="32">
        <f t="shared" si="126"/>
        <v>98000</v>
      </c>
      <c r="B215" s="33">
        <f t="shared" si="103"/>
        <v>0</v>
      </c>
      <c r="C215" s="33">
        <f t="shared" si="104"/>
        <v>98000</v>
      </c>
      <c r="D215" s="34">
        <f t="shared" si="105"/>
        <v>0</v>
      </c>
      <c r="E215" s="32">
        <f t="shared" si="106"/>
        <v>36000</v>
      </c>
      <c r="F215" s="33">
        <f t="shared" si="127"/>
        <v>116000</v>
      </c>
      <c r="G215" s="33">
        <f t="shared" si="107"/>
        <v>4500</v>
      </c>
      <c r="H215" s="33">
        <f t="shared" si="108"/>
        <v>26100</v>
      </c>
      <c r="I215" s="33">
        <f t="shared" si="99"/>
        <v>30600</v>
      </c>
      <c r="J215" s="42">
        <f t="shared" si="109"/>
        <v>0</v>
      </c>
      <c r="K215" s="33">
        <f t="shared" si="130"/>
        <v>128600</v>
      </c>
      <c r="L215" s="33">
        <f t="shared" si="110"/>
        <v>20934</v>
      </c>
      <c r="M215" s="32">
        <f t="shared" si="128"/>
        <v>107666</v>
      </c>
      <c r="N215" s="33">
        <f t="shared" si="111"/>
        <v>0</v>
      </c>
      <c r="O215" s="34">
        <f t="shared" ref="O215:O219" si="131">M215-N215</f>
        <v>107666</v>
      </c>
      <c r="P215" s="32">
        <f t="shared" si="112"/>
        <v>0</v>
      </c>
      <c r="Q215" s="33">
        <f t="shared" si="113"/>
        <v>1966</v>
      </c>
      <c r="R215" s="33">
        <f t="shared" si="114"/>
        <v>55300</v>
      </c>
      <c r="S215" s="33">
        <f t="shared" si="115"/>
        <v>38000</v>
      </c>
      <c r="T215" s="33">
        <f t="shared" si="116"/>
        <v>12400</v>
      </c>
      <c r="U215" s="4">
        <f t="shared" si="117"/>
        <v>0</v>
      </c>
      <c r="V215" s="38">
        <f t="shared" si="118"/>
        <v>0</v>
      </c>
      <c r="W215" s="39">
        <f t="shared" si="119"/>
        <v>0</v>
      </c>
      <c r="X215" s="4">
        <f t="shared" si="120"/>
        <v>471.84</v>
      </c>
      <c r="Y215" s="4">
        <f t="shared" si="121"/>
        <v>12166</v>
      </c>
      <c r="Z215" s="4">
        <f t="shared" si="122"/>
        <v>4560</v>
      </c>
      <c r="AA215" s="4">
        <f t="shared" si="123"/>
        <v>1240</v>
      </c>
      <c r="AB215" s="4">
        <f t="shared" si="124"/>
        <v>0</v>
      </c>
      <c r="AC215" s="38">
        <f t="shared" si="129"/>
        <v>18437.84</v>
      </c>
      <c r="AD215" s="40">
        <f t="shared" si="125"/>
        <v>0.25440000000000146</v>
      </c>
    </row>
    <row r="216" spans="1:30" x14ac:dyDescent="0.3">
      <c r="A216" s="32">
        <f t="shared" si="126"/>
        <v>98500</v>
      </c>
      <c r="B216" s="33">
        <f t="shared" si="103"/>
        <v>0</v>
      </c>
      <c r="C216" s="33">
        <f t="shared" si="104"/>
        <v>98500</v>
      </c>
      <c r="D216" s="34">
        <f t="shared" si="105"/>
        <v>0</v>
      </c>
      <c r="E216" s="32">
        <f t="shared" si="106"/>
        <v>36000</v>
      </c>
      <c r="F216" s="33">
        <f t="shared" si="127"/>
        <v>116500</v>
      </c>
      <c r="G216" s="33">
        <f t="shared" si="107"/>
        <v>4500</v>
      </c>
      <c r="H216" s="33">
        <f t="shared" si="108"/>
        <v>26100</v>
      </c>
      <c r="I216" s="33">
        <f t="shared" ref="I216:I219" si="132">G216+H216</f>
        <v>30600</v>
      </c>
      <c r="J216" s="42">
        <f t="shared" si="109"/>
        <v>0</v>
      </c>
      <c r="K216" s="33">
        <f t="shared" si="130"/>
        <v>129100</v>
      </c>
      <c r="L216" s="33">
        <f t="shared" si="110"/>
        <v>20904</v>
      </c>
      <c r="M216" s="32">
        <f t="shared" si="128"/>
        <v>108196</v>
      </c>
      <c r="N216" s="33">
        <f t="shared" si="111"/>
        <v>0</v>
      </c>
      <c r="O216" s="34">
        <f t="shared" si="131"/>
        <v>108196</v>
      </c>
      <c r="P216" s="32">
        <f t="shared" si="112"/>
        <v>0</v>
      </c>
      <c r="Q216" s="33">
        <f t="shared" si="113"/>
        <v>2496</v>
      </c>
      <c r="R216" s="33">
        <f t="shared" si="114"/>
        <v>55300</v>
      </c>
      <c r="S216" s="33">
        <f t="shared" si="115"/>
        <v>38000</v>
      </c>
      <c r="T216" s="33">
        <f t="shared" si="116"/>
        <v>12400</v>
      </c>
      <c r="U216" s="4">
        <f t="shared" si="117"/>
        <v>0</v>
      </c>
      <c r="V216" s="38">
        <f t="shared" si="118"/>
        <v>0</v>
      </c>
      <c r="W216" s="39">
        <f t="shared" si="119"/>
        <v>0</v>
      </c>
      <c r="X216" s="4">
        <f t="shared" si="120"/>
        <v>599.04</v>
      </c>
      <c r="Y216" s="4">
        <f t="shared" si="121"/>
        <v>12166</v>
      </c>
      <c r="Z216" s="4">
        <f t="shared" si="122"/>
        <v>4560</v>
      </c>
      <c r="AA216" s="4">
        <f t="shared" si="123"/>
        <v>1240</v>
      </c>
      <c r="AB216" s="4">
        <f t="shared" si="124"/>
        <v>0</v>
      </c>
      <c r="AC216" s="38">
        <f t="shared" si="129"/>
        <v>18565.04</v>
      </c>
      <c r="AD216" s="40">
        <f t="shared" si="125"/>
        <v>0.25439999999999419</v>
      </c>
    </row>
    <row r="217" spans="1:30" x14ac:dyDescent="0.3">
      <c r="A217" s="32">
        <f t="shared" si="126"/>
        <v>99000</v>
      </c>
      <c r="B217" s="33">
        <f t="shared" si="103"/>
        <v>0</v>
      </c>
      <c r="C217" s="33">
        <f t="shared" si="104"/>
        <v>99000</v>
      </c>
      <c r="D217" s="34">
        <f t="shared" si="105"/>
        <v>0</v>
      </c>
      <c r="E217" s="32">
        <f t="shared" si="106"/>
        <v>36000</v>
      </c>
      <c r="F217" s="33">
        <f t="shared" si="127"/>
        <v>117000</v>
      </c>
      <c r="G217" s="33">
        <f t="shared" si="107"/>
        <v>4500</v>
      </c>
      <c r="H217" s="33">
        <f t="shared" si="108"/>
        <v>26100</v>
      </c>
      <c r="I217" s="33">
        <f t="shared" si="132"/>
        <v>30600</v>
      </c>
      <c r="J217" s="42">
        <f t="shared" si="109"/>
        <v>0</v>
      </c>
      <c r="K217" s="33">
        <f t="shared" si="130"/>
        <v>129600</v>
      </c>
      <c r="L217" s="33">
        <f t="shared" si="110"/>
        <v>20874</v>
      </c>
      <c r="M217" s="32">
        <f t="shared" si="128"/>
        <v>108726</v>
      </c>
      <c r="N217" s="33">
        <f t="shared" si="111"/>
        <v>0</v>
      </c>
      <c r="O217" s="34">
        <f t="shared" si="131"/>
        <v>108726</v>
      </c>
      <c r="P217" s="32">
        <f t="shared" si="112"/>
        <v>0</v>
      </c>
      <c r="Q217" s="33">
        <f t="shared" si="113"/>
        <v>3026</v>
      </c>
      <c r="R217" s="33">
        <f t="shared" si="114"/>
        <v>55300</v>
      </c>
      <c r="S217" s="33">
        <f t="shared" si="115"/>
        <v>38000</v>
      </c>
      <c r="T217" s="33">
        <f t="shared" si="116"/>
        <v>12400</v>
      </c>
      <c r="U217" s="4">
        <f t="shared" si="117"/>
        <v>0</v>
      </c>
      <c r="V217" s="38">
        <f t="shared" si="118"/>
        <v>0</v>
      </c>
      <c r="W217" s="39">
        <f t="shared" si="119"/>
        <v>0</v>
      </c>
      <c r="X217" s="4">
        <f t="shared" si="120"/>
        <v>726.24</v>
      </c>
      <c r="Y217" s="4">
        <f t="shared" si="121"/>
        <v>12166</v>
      </c>
      <c r="Z217" s="4">
        <f t="shared" si="122"/>
        <v>4560</v>
      </c>
      <c r="AA217" s="4">
        <f t="shared" si="123"/>
        <v>1240</v>
      </c>
      <c r="AB217" s="4">
        <f t="shared" si="124"/>
        <v>0</v>
      </c>
      <c r="AC217" s="38">
        <f t="shared" si="129"/>
        <v>18692.239999999998</v>
      </c>
      <c r="AD217" s="40">
        <f t="shared" si="125"/>
        <v>0.25440000000000873</v>
      </c>
    </row>
    <row r="218" spans="1:30" x14ac:dyDescent="0.3">
      <c r="A218" s="32">
        <f t="shared" si="126"/>
        <v>99500</v>
      </c>
      <c r="B218" s="33">
        <f t="shared" si="103"/>
        <v>0</v>
      </c>
      <c r="C218" s="33">
        <f t="shared" si="104"/>
        <v>99500</v>
      </c>
      <c r="D218" s="34">
        <f t="shared" si="105"/>
        <v>0</v>
      </c>
      <c r="E218" s="32">
        <f t="shared" si="106"/>
        <v>36000</v>
      </c>
      <c r="F218" s="33">
        <f t="shared" si="127"/>
        <v>117500</v>
      </c>
      <c r="G218" s="33">
        <f t="shared" si="107"/>
        <v>4500</v>
      </c>
      <c r="H218" s="33">
        <f t="shared" si="108"/>
        <v>26100</v>
      </c>
      <c r="I218" s="33">
        <f t="shared" si="132"/>
        <v>30600</v>
      </c>
      <c r="J218" s="42">
        <f t="shared" si="109"/>
        <v>0</v>
      </c>
      <c r="K218" s="33">
        <f t="shared" si="130"/>
        <v>130100</v>
      </c>
      <c r="L218" s="33">
        <f t="shared" si="110"/>
        <v>20844</v>
      </c>
      <c r="M218" s="32">
        <f t="shared" si="128"/>
        <v>109256</v>
      </c>
      <c r="N218" s="33">
        <f t="shared" si="111"/>
        <v>0</v>
      </c>
      <c r="O218" s="34">
        <f t="shared" si="131"/>
        <v>109256</v>
      </c>
      <c r="P218" s="32">
        <f t="shared" si="112"/>
        <v>0</v>
      </c>
      <c r="Q218" s="33">
        <f t="shared" si="113"/>
        <v>3556</v>
      </c>
      <c r="R218" s="33">
        <f t="shared" si="114"/>
        <v>55300</v>
      </c>
      <c r="S218" s="33">
        <f t="shared" si="115"/>
        <v>38000</v>
      </c>
      <c r="T218" s="33">
        <f t="shared" si="116"/>
        <v>12400</v>
      </c>
      <c r="U218" s="4">
        <f t="shared" si="117"/>
        <v>0</v>
      </c>
      <c r="V218" s="38">
        <f t="shared" si="118"/>
        <v>0</v>
      </c>
      <c r="W218" s="39">
        <f t="shared" si="119"/>
        <v>0</v>
      </c>
      <c r="X218" s="4">
        <f t="shared" si="120"/>
        <v>853.43999999999994</v>
      </c>
      <c r="Y218" s="4">
        <f t="shared" si="121"/>
        <v>12166</v>
      </c>
      <c r="Z218" s="4">
        <f t="shared" si="122"/>
        <v>4560</v>
      </c>
      <c r="AA218" s="4">
        <f t="shared" si="123"/>
        <v>1240</v>
      </c>
      <c r="AB218" s="4">
        <f t="shared" si="124"/>
        <v>0</v>
      </c>
      <c r="AC218" s="38">
        <f t="shared" si="129"/>
        <v>18819.440000000002</v>
      </c>
      <c r="AD218" s="41">
        <f t="shared" si="125"/>
        <v>0.25439999999999419</v>
      </c>
    </row>
    <row r="219" spans="1:30" x14ac:dyDescent="0.3">
      <c r="A219" s="35">
        <f t="shared" si="126"/>
        <v>100000</v>
      </c>
      <c r="B219" s="36">
        <f t="shared" si="103"/>
        <v>0</v>
      </c>
      <c r="C219" s="36">
        <f t="shared" si="104"/>
        <v>100000</v>
      </c>
      <c r="D219" s="37">
        <f t="shared" si="105"/>
        <v>0</v>
      </c>
      <c r="E219" s="35">
        <f t="shared" si="106"/>
        <v>36000</v>
      </c>
      <c r="F219" s="36">
        <f t="shared" si="127"/>
        <v>118000</v>
      </c>
      <c r="G219" s="36">
        <f t="shared" si="107"/>
        <v>4500</v>
      </c>
      <c r="H219" s="36">
        <f t="shared" si="108"/>
        <v>26100</v>
      </c>
      <c r="I219" s="36">
        <f t="shared" si="132"/>
        <v>30600</v>
      </c>
      <c r="J219" s="43"/>
      <c r="K219" s="36">
        <f t="shared" si="130"/>
        <v>130600</v>
      </c>
      <c r="L219" s="36">
        <f t="shared" si="110"/>
        <v>20814</v>
      </c>
      <c r="M219" s="35">
        <f t="shared" si="128"/>
        <v>109786</v>
      </c>
      <c r="N219" s="36">
        <f t="shared" si="111"/>
        <v>0</v>
      </c>
      <c r="O219" s="37">
        <f t="shared" si="131"/>
        <v>109786</v>
      </c>
      <c r="P219" s="32">
        <f t="shared" si="112"/>
        <v>0</v>
      </c>
      <c r="Q219" s="33">
        <f t="shared" si="113"/>
        <v>4086</v>
      </c>
      <c r="R219" s="33">
        <f t="shared" si="114"/>
        <v>55300</v>
      </c>
      <c r="S219" s="33">
        <f t="shared" si="115"/>
        <v>38000</v>
      </c>
      <c r="T219" s="33">
        <f t="shared" si="116"/>
        <v>12400</v>
      </c>
      <c r="U219" s="4">
        <f t="shared" si="117"/>
        <v>0</v>
      </c>
      <c r="V219" s="38">
        <f t="shared" si="118"/>
        <v>0</v>
      </c>
      <c r="W219" s="39">
        <f t="shared" si="119"/>
        <v>0</v>
      </c>
      <c r="X219" s="4">
        <f t="shared" si="120"/>
        <v>980.64</v>
      </c>
      <c r="Y219" s="4">
        <f t="shared" si="121"/>
        <v>12166</v>
      </c>
      <c r="Z219" s="4">
        <f t="shared" si="122"/>
        <v>4560</v>
      </c>
      <c r="AA219" s="4">
        <f t="shared" si="123"/>
        <v>1240</v>
      </c>
      <c r="AB219" s="4">
        <f t="shared" si="124"/>
        <v>0</v>
      </c>
      <c r="AC219" s="38">
        <f t="shared" si="129"/>
        <v>18946.64</v>
      </c>
      <c r="AD219" s="7"/>
    </row>
    <row r="220" spans="1:30" x14ac:dyDescent="0.3">
      <c r="R220" s="3"/>
      <c r="S220" s="4"/>
      <c r="T220" s="4"/>
      <c r="U220" s="4"/>
      <c r="V220" s="4"/>
      <c r="W220" s="4"/>
      <c r="X220" s="4"/>
      <c r="Y220" s="4"/>
      <c r="Z220" s="4"/>
      <c r="AA220" s="4"/>
      <c r="AB220" s="7"/>
    </row>
    <row r="221" spans="1:30" x14ac:dyDescent="0.3">
      <c r="R221" s="4"/>
      <c r="S221" s="4"/>
      <c r="T221" s="4"/>
      <c r="U221" s="4"/>
      <c r="V221" s="4"/>
      <c r="W221" s="4"/>
      <c r="X221" s="4"/>
      <c r="Y221" s="4"/>
      <c r="Z221" s="4"/>
      <c r="AA221" s="7"/>
    </row>
    <row r="222" spans="1:30" x14ac:dyDescent="0.3">
      <c r="R222" s="4"/>
      <c r="S222" s="4"/>
      <c r="T222" s="4"/>
      <c r="U222" s="4"/>
      <c r="V222" s="4"/>
      <c r="W222" s="4"/>
      <c r="X222" s="4"/>
      <c r="Y222" s="4"/>
      <c r="Z222" s="4"/>
      <c r="AA222" s="7"/>
    </row>
    <row r="223" spans="1:30" x14ac:dyDescent="0.3">
      <c r="R223" s="4"/>
      <c r="S223" s="4"/>
      <c r="T223" s="4"/>
      <c r="U223" s="4"/>
      <c r="V223" s="4"/>
      <c r="W223" s="4"/>
      <c r="X223" s="4"/>
      <c r="Y223" s="4"/>
      <c r="Z223" s="4"/>
      <c r="AA223" s="7"/>
    </row>
    <row r="224" spans="1:30" x14ac:dyDescent="0.3">
      <c r="R224" s="4"/>
      <c r="S224" s="4"/>
      <c r="T224" s="4"/>
      <c r="U224" s="4"/>
      <c r="V224" s="4"/>
      <c r="W224" s="4"/>
      <c r="X224" s="4"/>
      <c r="Y224" s="4"/>
      <c r="Z224" s="4"/>
      <c r="AA224" s="7"/>
    </row>
  </sheetData>
  <sheetProtection sheet="1" formatCells="0" formatColumns="0" formatRows="0"/>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7"/>
  <sheetViews>
    <sheetView workbookViewId="0">
      <selection activeCell="B1" sqref="B1"/>
    </sheetView>
  </sheetViews>
  <sheetFormatPr defaultColWidth="10.765625" defaultRowHeight="13.5" x14ac:dyDescent="0.3"/>
  <cols>
    <col min="1" max="1" width="29.765625" customWidth="1"/>
    <col min="2" max="2" width="10.765625" style="52"/>
    <col min="13" max="13" width="5.3828125" customWidth="1"/>
    <col min="14" max="14" width="35.921875" style="50" customWidth="1"/>
    <col min="23" max="23" width="15.69140625" customWidth="1"/>
  </cols>
  <sheetData>
    <row r="1" spans="1:23" x14ac:dyDescent="0.3">
      <c r="A1" t="s">
        <v>72</v>
      </c>
      <c r="B1" s="48">
        <v>2026</v>
      </c>
      <c r="C1" s="48">
        <f>B1</f>
        <v>2026</v>
      </c>
      <c r="D1" s="48">
        <f t="shared" ref="D1:L1" si="0">C1</f>
        <v>2026</v>
      </c>
      <c r="E1" s="48">
        <f t="shared" si="0"/>
        <v>2026</v>
      </c>
      <c r="F1" s="48">
        <f t="shared" si="0"/>
        <v>2026</v>
      </c>
      <c r="G1" s="48">
        <f t="shared" si="0"/>
        <v>2026</v>
      </c>
      <c r="H1" s="48">
        <f t="shared" si="0"/>
        <v>2026</v>
      </c>
      <c r="I1" s="48">
        <f t="shared" si="0"/>
        <v>2026</v>
      </c>
      <c r="J1" s="48">
        <f t="shared" si="0"/>
        <v>2026</v>
      </c>
      <c r="K1" s="48">
        <f t="shared" si="0"/>
        <v>2026</v>
      </c>
      <c r="L1" s="48">
        <f t="shared" si="0"/>
        <v>2026</v>
      </c>
      <c r="N1" s="112">
        <v>11</v>
      </c>
      <c r="O1" t="s">
        <v>90</v>
      </c>
    </row>
    <row r="2" spans="1:23" x14ac:dyDescent="0.3">
      <c r="A2" t="s">
        <v>256</v>
      </c>
      <c r="B2" s="48">
        <v>1</v>
      </c>
      <c r="C2" s="48">
        <v>1</v>
      </c>
      <c r="D2" s="48">
        <v>1</v>
      </c>
      <c r="E2" s="48">
        <v>1</v>
      </c>
      <c r="F2" s="48">
        <v>1</v>
      </c>
      <c r="G2" s="48">
        <v>1</v>
      </c>
      <c r="H2" s="48">
        <v>1</v>
      </c>
      <c r="I2" s="48">
        <v>1</v>
      </c>
      <c r="J2" s="48">
        <v>1</v>
      </c>
      <c r="K2" s="48">
        <v>1</v>
      </c>
      <c r="L2" s="48">
        <v>1</v>
      </c>
      <c r="N2" s="112">
        <v>9</v>
      </c>
      <c r="O2" t="s">
        <v>89</v>
      </c>
    </row>
    <row r="3" spans="1:23" x14ac:dyDescent="0.3">
      <c r="A3" t="s">
        <v>73</v>
      </c>
      <c r="B3" s="48">
        <v>1</v>
      </c>
      <c r="C3" s="48">
        <v>1</v>
      </c>
      <c r="D3" s="48">
        <v>1</v>
      </c>
      <c r="E3" s="48">
        <v>1</v>
      </c>
      <c r="F3" s="48">
        <v>1</v>
      </c>
      <c r="G3" s="48">
        <v>1</v>
      </c>
      <c r="H3" s="48">
        <v>1</v>
      </c>
      <c r="I3" s="48">
        <v>1</v>
      </c>
      <c r="J3" s="48">
        <v>1</v>
      </c>
      <c r="K3" s="48">
        <v>1</v>
      </c>
      <c r="L3" s="48">
        <v>1</v>
      </c>
      <c r="N3" s="113" t="b">
        <v>1</v>
      </c>
      <c r="O3" t="s">
        <v>227</v>
      </c>
      <c r="W3" s="125" t="str">
        <f>REPT(" ",40)</f>
        <v xml:space="preserve">                                        </v>
      </c>
    </row>
    <row r="4" spans="1:23" x14ac:dyDescent="0.3">
      <c r="A4" t="s">
        <v>4</v>
      </c>
      <c r="B4" s="47">
        <v>0</v>
      </c>
      <c r="C4" s="47">
        <f>B4</f>
        <v>0</v>
      </c>
      <c r="D4" s="47">
        <f t="shared" ref="D4:L4" si="1">C4</f>
        <v>0</v>
      </c>
      <c r="E4" s="47">
        <f t="shared" si="1"/>
        <v>0</v>
      </c>
      <c r="F4" s="47">
        <f t="shared" si="1"/>
        <v>0</v>
      </c>
      <c r="G4" s="47">
        <f t="shared" si="1"/>
        <v>0</v>
      </c>
      <c r="H4" s="47">
        <f t="shared" si="1"/>
        <v>0</v>
      </c>
      <c r="I4" s="47">
        <f t="shared" si="1"/>
        <v>0</v>
      </c>
      <c r="J4" s="47">
        <f t="shared" si="1"/>
        <v>0</v>
      </c>
      <c r="K4" s="47">
        <f t="shared" si="1"/>
        <v>0</v>
      </c>
      <c r="L4" s="47">
        <f t="shared" si="1"/>
        <v>0</v>
      </c>
      <c r="N4" s="50" t="str">
        <f t="shared" ref="N4:N49" si="2">LEFT(A4&amp;W$3,31)&amp;RIGHT(W$3&amp;TEXT(B4,W4),N$2)&amp;IF(N$1&lt;2,"",RIGHT(W$3&amp;TEXT(C4,W4),N$2))&amp;IF(N$1&lt;3,"",RIGHT(W$3&amp;TEXT(D4,W4),N$2))&amp;IF(N$1&lt;4,"",RIGHT(W$3&amp;TEXT(E4,W4),N$2))&amp;IF(N$1&lt;5,"",RIGHT(W$3&amp;TEXT(F4,W4),N$2))&amp;IF(N$1&lt;6,"",RIGHT(W$3&amp;TEXT(G4,W4),N$2))&amp;IF(N$1&lt;7,"",RIGHT(W$3&amp;TEXT(H4,W4),N$2))&amp;IF(N$1&lt;8,"",RIGHT(W$3&amp;TEXT(I4,W4),N$2))&amp;IF(N$1&lt;9,"",RIGHT(W$3&amp;TEXT(J4,W4),N$2))&amp;IF(N$1&lt;10,"",RIGHT(W$3&amp;TEXT(K4,W4),N$2))&amp;IF(N$1&lt;11,"",RIGHT(W$3&amp;TEXT(L4,W4),N$2))</f>
        <v xml:space="preserve">Tax exempt interest                  -        -        -        -        -        -        -        -        -        -        -  </v>
      </c>
      <c r="W4" s="125" t="s">
        <v>291</v>
      </c>
    </row>
    <row r="5" spans="1:23" x14ac:dyDescent="0.3">
      <c r="A5" t="s">
        <v>1</v>
      </c>
      <c r="B5" s="47">
        <v>7000</v>
      </c>
      <c r="C5" s="47">
        <v>16000</v>
      </c>
      <c r="D5" s="47">
        <v>17972.972972972973</v>
      </c>
      <c r="E5" s="47">
        <v>24675.675675675673</v>
      </c>
      <c r="F5" s="47">
        <v>45216.216216216213</v>
      </c>
      <c r="G5" s="47">
        <v>45459.45945945946</v>
      </c>
      <c r="H5" s="47">
        <v>46705.882352941175</v>
      </c>
      <c r="I5" s="47">
        <v>96145.283018867922</v>
      </c>
      <c r="J5" s="47">
        <v>144400</v>
      </c>
      <c r="K5" s="47">
        <v>189325</v>
      </c>
      <c r="L5" s="47">
        <v>190325</v>
      </c>
      <c r="N5" s="50" t="str">
        <f t="shared" si="2"/>
        <v>Non-SS Ordinary Income             7,000   16,000   17,973   24,676   45,216   45,459   46,706   96,145  144,400  189,325  190,325</v>
      </c>
      <c r="W5" s="125" t="str">
        <f>W4</f>
        <v>###,##0;;-_0_0</v>
      </c>
    </row>
    <row r="6" spans="1:23" x14ac:dyDescent="0.3">
      <c r="A6" t="s">
        <v>2</v>
      </c>
      <c r="B6" s="47">
        <v>0</v>
      </c>
      <c r="C6" s="47">
        <f>B6</f>
        <v>0</v>
      </c>
      <c r="D6" s="47">
        <f t="shared" ref="D6:L7" si="3">C6</f>
        <v>0</v>
      </c>
      <c r="E6" s="47">
        <f t="shared" si="3"/>
        <v>0</v>
      </c>
      <c r="F6" s="47">
        <f t="shared" si="3"/>
        <v>0</v>
      </c>
      <c r="G6" s="47">
        <f t="shared" si="3"/>
        <v>0</v>
      </c>
      <c r="H6" s="47">
        <f t="shared" si="3"/>
        <v>0</v>
      </c>
      <c r="I6" s="47">
        <f t="shared" si="3"/>
        <v>0</v>
      </c>
      <c r="J6" s="47">
        <f t="shared" si="3"/>
        <v>0</v>
      </c>
      <c r="K6" s="47">
        <f t="shared" si="3"/>
        <v>0</v>
      </c>
      <c r="L6" s="47">
        <f t="shared" si="3"/>
        <v>0</v>
      </c>
      <c r="N6" s="50" t="str">
        <f t="shared" si="2"/>
        <v xml:space="preserve">LTCG &amp; QDI                           -        -        -        -        -        -        -        -        -        -        -  </v>
      </c>
      <c r="W6" s="125" t="str">
        <f t="shared" ref="W6:W54" si="4">W5</f>
        <v>###,##0;;-_0_0</v>
      </c>
    </row>
    <row r="7" spans="1:23" x14ac:dyDescent="0.3">
      <c r="A7" t="s">
        <v>0</v>
      </c>
      <c r="B7" s="47">
        <v>36000</v>
      </c>
      <c r="C7" s="47">
        <f>B7</f>
        <v>36000</v>
      </c>
      <c r="D7" s="47">
        <f t="shared" si="3"/>
        <v>36000</v>
      </c>
      <c r="E7" s="47">
        <f t="shared" si="3"/>
        <v>36000</v>
      </c>
      <c r="F7" s="47">
        <f t="shared" si="3"/>
        <v>36000</v>
      </c>
      <c r="G7" s="47">
        <f t="shared" si="3"/>
        <v>36000</v>
      </c>
      <c r="H7" s="47">
        <f t="shared" si="3"/>
        <v>36000</v>
      </c>
      <c r="I7" s="47">
        <f t="shared" si="3"/>
        <v>36000</v>
      </c>
      <c r="J7" s="47">
        <f t="shared" si="3"/>
        <v>36000</v>
      </c>
      <c r="K7" s="47">
        <f t="shared" si="3"/>
        <v>36000</v>
      </c>
      <c r="L7" s="47">
        <f>K7</f>
        <v>36000</v>
      </c>
      <c r="N7" s="50" t="str">
        <f t="shared" si="2"/>
        <v>Social Security Benefit           36,000   36,000   36,000   36,000   36,000   36,000   36,000   36,000   36,000   36,000   36,000</v>
      </c>
      <c r="W7" s="125" t="str">
        <f t="shared" si="4"/>
        <v>###,##0;;-_0_0</v>
      </c>
    </row>
    <row r="8" spans="1:23" x14ac:dyDescent="0.3">
      <c r="A8" t="s">
        <v>91</v>
      </c>
      <c r="B8" s="47"/>
      <c r="C8" s="47"/>
      <c r="D8" s="47"/>
      <c r="E8" s="47"/>
      <c r="F8" s="47"/>
      <c r="G8" s="47"/>
      <c r="H8" s="47"/>
      <c r="I8" s="47"/>
      <c r="J8" s="47"/>
      <c r="K8" s="47"/>
      <c r="L8" s="47"/>
      <c r="N8" s="50" t="str">
        <f t="shared" si="2"/>
        <v xml:space="preserve">Deductions (blank for standard)      -        -        -        -        -        -        -        -        -        -        -  </v>
      </c>
      <c r="W8" s="125" t="str">
        <f t="shared" si="4"/>
        <v>###,##0;;-_0_0</v>
      </c>
    </row>
    <row r="9" spans="1:23" x14ac:dyDescent="0.3">
      <c r="A9" s="51" t="s">
        <v>92</v>
      </c>
      <c r="B9" s="49"/>
      <c r="C9" s="49"/>
      <c r="D9" s="49"/>
      <c r="E9" s="49"/>
      <c r="F9" s="49"/>
      <c r="G9" s="49"/>
      <c r="H9" s="49"/>
      <c r="I9" s="49"/>
      <c r="J9" s="49"/>
      <c r="K9" s="49"/>
      <c r="L9" s="49"/>
      <c r="M9" s="51"/>
      <c r="N9" s="50" t="str">
        <f t="shared" si="2"/>
        <v xml:space="preserve">Exemption (blank for standard)       -        -        -        -        -        -        -        -        -        -        -  </v>
      </c>
      <c r="W9" s="125" t="str">
        <f t="shared" si="4"/>
        <v>###,##0;;-_0_0</v>
      </c>
    </row>
    <row r="10" spans="1:23" x14ac:dyDescent="0.3">
      <c r="A10" s="16" t="s">
        <v>81</v>
      </c>
      <c r="B10" s="52">
        <f t="shared" ref="B10:H10" si="5">IF(ISNUMBER(B8),B8,HLOOKUP(B2&amp;B1,combo_tbl,3,FALSE)+MIN(IF(B2="Single",1,2),B3)*HLOOKUP(B2&amp;B1,combo_tbl,4,FALSE))+IF(ISNUMBER(B9),B9,HLOOKUP(B2&amp;B1,combo_tbl,5,FALSE))</f>
        <v>18150</v>
      </c>
      <c r="C10" s="52">
        <f t="shared" si="5"/>
        <v>18150</v>
      </c>
      <c r="D10" s="52">
        <f t="shared" si="5"/>
        <v>18150</v>
      </c>
      <c r="E10" s="52">
        <f t="shared" si="5"/>
        <v>18150</v>
      </c>
      <c r="F10" s="52">
        <f t="shared" si="5"/>
        <v>18150</v>
      </c>
      <c r="G10" s="52">
        <f t="shared" si="5"/>
        <v>18150</v>
      </c>
      <c r="H10" s="52">
        <f t="shared" si="5"/>
        <v>18150</v>
      </c>
      <c r="I10" s="52">
        <f t="shared" ref="I10:K10" si="6">IF(ISNUMBER(I8),I8,HLOOKUP(I2&amp;I1,combo_tbl,3,FALSE)+MIN(IF(I2="Single",1,2),I3)*HLOOKUP(I2&amp;I1,combo_tbl,4,FALSE))+IF(ISNUMBER(I9),I9,HLOOKUP(I2&amp;I1,combo_tbl,5,FALSE))</f>
        <v>18150</v>
      </c>
      <c r="J10" s="52">
        <f t="shared" si="6"/>
        <v>18150</v>
      </c>
      <c r="K10" s="52">
        <f t="shared" si="6"/>
        <v>18150</v>
      </c>
      <c r="L10" s="52">
        <f t="shared" ref="L10" si="7">IF(ISNUMBER(L8),L8,HLOOKUP(L2&amp;L1,combo_tbl,3,FALSE)+MIN(IF(L2="Single",1,2),L3)*HLOOKUP(L2&amp;L1,combo_tbl,4,FALSE))+IF(ISNUMBER(L9),L9,HLOOKUP(L2&amp;L1,combo_tbl,5,FALSE))</f>
        <v>18150</v>
      </c>
      <c r="N10" s="50" t="str">
        <f t="shared" si="2"/>
        <v>Deductions plus Exemptions        18,150   18,150   18,150   18,150   18,150   18,150   18,150   18,150   18,150   18,150   18,150</v>
      </c>
      <c r="W10" s="125" t="str">
        <f t="shared" si="4"/>
        <v>###,##0;;-_0_0</v>
      </c>
    </row>
    <row r="11" spans="1:23" x14ac:dyDescent="0.3">
      <c r="A11" s="16" t="s">
        <v>13</v>
      </c>
      <c r="B11" s="52">
        <f t="shared" ref="B11:H12" si="8">HLOOKUP(B$2&amp;B$1,combo_tbl,6+ROW(A11)-ROW(A$11),FALSE)</f>
        <v>25000</v>
      </c>
      <c r="C11" s="52">
        <f t="shared" si="8"/>
        <v>25000</v>
      </c>
      <c r="D11" s="52">
        <f t="shared" si="8"/>
        <v>25000</v>
      </c>
      <c r="E11" s="52">
        <f t="shared" si="8"/>
        <v>25000</v>
      </c>
      <c r="F11" s="52">
        <f t="shared" si="8"/>
        <v>25000</v>
      </c>
      <c r="G11" s="52">
        <f t="shared" si="8"/>
        <v>25000</v>
      </c>
      <c r="H11" s="52">
        <f t="shared" si="8"/>
        <v>25000</v>
      </c>
      <c r="I11" s="52">
        <f t="shared" ref="I11:I12" si="9">HLOOKUP(I$2&amp;I$1,combo_tbl,6+ROW(H11)-ROW(H$11),FALSE)</f>
        <v>25000</v>
      </c>
      <c r="J11" s="52">
        <f t="shared" ref="J11:J12" si="10">HLOOKUP(J$2&amp;J$1,combo_tbl,6+ROW(I11)-ROW(I$11),FALSE)</f>
        <v>25000</v>
      </c>
      <c r="K11" s="52">
        <f t="shared" ref="K11:L12" si="11">HLOOKUP(K$2&amp;K$1,combo_tbl,6+ROW(J11)-ROW(J$11),FALSE)</f>
        <v>25000</v>
      </c>
      <c r="L11" s="52">
        <f t="shared" si="11"/>
        <v>25000</v>
      </c>
      <c r="N11" s="50" t="str">
        <f t="shared" si="2"/>
        <v>Social Security 50% threshhold    25,000   25,000   25,000   25,000   25,000   25,000   25,000   25,000   25,000   25,000   25,000</v>
      </c>
      <c r="W11" s="125" t="str">
        <f t="shared" si="4"/>
        <v>###,##0;;-_0_0</v>
      </c>
    </row>
    <row r="12" spans="1:23" x14ac:dyDescent="0.3">
      <c r="A12" s="73" t="s">
        <v>14</v>
      </c>
      <c r="B12" s="53">
        <f t="shared" si="8"/>
        <v>34000</v>
      </c>
      <c r="C12" s="53">
        <f t="shared" si="8"/>
        <v>34000</v>
      </c>
      <c r="D12" s="53">
        <f t="shared" si="8"/>
        <v>34000</v>
      </c>
      <c r="E12" s="53">
        <f t="shared" si="8"/>
        <v>34000</v>
      </c>
      <c r="F12" s="53">
        <f t="shared" si="8"/>
        <v>34000</v>
      </c>
      <c r="G12" s="53">
        <f t="shared" si="8"/>
        <v>34000</v>
      </c>
      <c r="H12" s="53">
        <f t="shared" si="8"/>
        <v>34000</v>
      </c>
      <c r="I12" s="53">
        <f t="shared" si="9"/>
        <v>34000</v>
      </c>
      <c r="J12" s="53">
        <f t="shared" si="10"/>
        <v>34000</v>
      </c>
      <c r="K12" s="53">
        <f t="shared" si="11"/>
        <v>34000</v>
      </c>
      <c r="L12" s="53">
        <f t="shared" si="11"/>
        <v>34000</v>
      </c>
      <c r="N12" s="50" t="str">
        <f t="shared" si="2"/>
        <v>Social Security 85% threshhold    34,000   34,000   34,000   34,000   34,000   34,000   34,000   34,000   34,000   34,000   34,000</v>
      </c>
      <c r="W12" s="125" t="str">
        <f t="shared" si="4"/>
        <v>###,##0;;-_0_0</v>
      </c>
    </row>
    <row r="13" spans="1:23" x14ac:dyDescent="0.3">
      <c r="A13" s="17" t="s">
        <v>161</v>
      </c>
      <c r="B13" s="72">
        <f t="shared" ref="B13:L13" si="12">HLOOKUP(B$1,rate_tbl,2,FALSE)</f>
        <v>0.1</v>
      </c>
      <c r="C13" s="72">
        <f t="shared" si="12"/>
        <v>0.1</v>
      </c>
      <c r="D13" s="72">
        <f t="shared" si="12"/>
        <v>0.1</v>
      </c>
      <c r="E13" s="72">
        <f t="shared" si="12"/>
        <v>0.1</v>
      </c>
      <c r="F13" s="72">
        <f t="shared" si="12"/>
        <v>0.1</v>
      </c>
      <c r="G13" s="72">
        <f t="shared" si="12"/>
        <v>0.1</v>
      </c>
      <c r="H13" s="72">
        <f t="shared" si="12"/>
        <v>0.1</v>
      </c>
      <c r="I13" s="72">
        <f t="shared" si="12"/>
        <v>0.1</v>
      </c>
      <c r="J13" s="72">
        <f t="shared" si="12"/>
        <v>0.1</v>
      </c>
      <c r="K13" s="72">
        <f t="shared" si="12"/>
        <v>0.1</v>
      </c>
      <c r="L13" s="72">
        <f t="shared" si="12"/>
        <v>0.1</v>
      </c>
      <c r="N13" s="50" t="str">
        <f t="shared" si="2"/>
        <v>Rate: ord income bracket 1           10%      10%      10%      10%      10%      10%      10%      10%      10%      10%      10%</v>
      </c>
      <c r="W13" s="125" t="s">
        <v>201</v>
      </c>
    </row>
    <row r="14" spans="1:23" x14ac:dyDescent="0.3">
      <c r="A14" s="17" t="s">
        <v>162</v>
      </c>
      <c r="B14" s="72">
        <f t="shared" ref="B14:L14" si="13">HLOOKUP(B$1,rate_tbl,3,FALSE)</f>
        <v>0.12</v>
      </c>
      <c r="C14" s="72">
        <f t="shared" si="13"/>
        <v>0.12</v>
      </c>
      <c r="D14" s="72">
        <f t="shared" si="13"/>
        <v>0.12</v>
      </c>
      <c r="E14" s="72">
        <f t="shared" si="13"/>
        <v>0.12</v>
      </c>
      <c r="F14" s="72">
        <f t="shared" si="13"/>
        <v>0.12</v>
      </c>
      <c r="G14" s="72">
        <f t="shared" si="13"/>
        <v>0.12</v>
      </c>
      <c r="H14" s="72">
        <f t="shared" si="13"/>
        <v>0.12</v>
      </c>
      <c r="I14" s="72">
        <f t="shared" si="13"/>
        <v>0.12</v>
      </c>
      <c r="J14" s="72">
        <f t="shared" si="13"/>
        <v>0.12</v>
      </c>
      <c r="K14" s="72">
        <f t="shared" si="13"/>
        <v>0.12</v>
      </c>
      <c r="L14" s="72">
        <f t="shared" si="13"/>
        <v>0.12</v>
      </c>
      <c r="N14" s="50" t="str">
        <f t="shared" si="2"/>
        <v>Rate: ord income bracket 2           12%      12%      12%      12%      12%      12%      12%      12%      12%      12%      12%</v>
      </c>
      <c r="W14" s="125" t="str">
        <f t="shared" si="4"/>
        <v>#0%</v>
      </c>
    </row>
    <row r="15" spans="1:23" x14ac:dyDescent="0.3">
      <c r="A15" s="17" t="s">
        <v>163</v>
      </c>
      <c r="B15" s="72">
        <f t="shared" ref="B15:L15" si="14">HLOOKUP(B$1,rate_tbl,4,FALSE)</f>
        <v>0.22</v>
      </c>
      <c r="C15" s="72">
        <f t="shared" si="14"/>
        <v>0.22</v>
      </c>
      <c r="D15" s="72">
        <f t="shared" si="14"/>
        <v>0.22</v>
      </c>
      <c r="E15" s="72">
        <f t="shared" si="14"/>
        <v>0.22</v>
      </c>
      <c r="F15" s="72">
        <f t="shared" si="14"/>
        <v>0.22</v>
      </c>
      <c r="G15" s="72">
        <f t="shared" si="14"/>
        <v>0.22</v>
      </c>
      <c r="H15" s="72">
        <f t="shared" si="14"/>
        <v>0.22</v>
      </c>
      <c r="I15" s="72">
        <f t="shared" si="14"/>
        <v>0.22</v>
      </c>
      <c r="J15" s="72">
        <f t="shared" si="14"/>
        <v>0.22</v>
      </c>
      <c r="K15" s="72">
        <f t="shared" si="14"/>
        <v>0.22</v>
      </c>
      <c r="L15" s="72">
        <f t="shared" si="14"/>
        <v>0.22</v>
      </c>
      <c r="N15" s="50" t="str">
        <f t="shared" si="2"/>
        <v>Rate: ord income bracket 3           22%      22%      22%      22%      22%      22%      22%      22%      22%      22%      22%</v>
      </c>
      <c r="W15" s="125" t="str">
        <f t="shared" si="4"/>
        <v>#0%</v>
      </c>
    </row>
    <row r="16" spans="1:23" x14ac:dyDescent="0.3">
      <c r="A16" s="17" t="s">
        <v>164</v>
      </c>
      <c r="B16" s="72">
        <f>HLOOKUP(B$1,rate_tbl,5,FALSE)</f>
        <v>0.24</v>
      </c>
      <c r="C16" s="72">
        <f t="shared" ref="C16:L16" si="15">HLOOKUP(C$1,rate_tbl,5,FALSE)</f>
        <v>0.24</v>
      </c>
      <c r="D16" s="72">
        <f t="shared" si="15"/>
        <v>0.24</v>
      </c>
      <c r="E16" s="72">
        <f t="shared" si="15"/>
        <v>0.24</v>
      </c>
      <c r="F16" s="72">
        <f t="shared" si="15"/>
        <v>0.24</v>
      </c>
      <c r="G16" s="72">
        <f t="shared" si="15"/>
        <v>0.24</v>
      </c>
      <c r="H16" s="72">
        <f t="shared" si="15"/>
        <v>0.24</v>
      </c>
      <c r="I16" s="72">
        <f t="shared" si="15"/>
        <v>0.24</v>
      </c>
      <c r="J16" s="72">
        <f t="shared" si="15"/>
        <v>0.24</v>
      </c>
      <c r="K16" s="72">
        <f t="shared" si="15"/>
        <v>0.24</v>
      </c>
      <c r="L16" s="72">
        <f t="shared" si="15"/>
        <v>0.24</v>
      </c>
      <c r="N16" s="50" t="str">
        <f t="shared" si="2"/>
        <v>Rate: ord income bracket 4           24%      24%      24%      24%      24%      24%      24%      24%      24%      24%      24%</v>
      </c>
      <c r="W16" s="125" t="str">
        <f t="shared" si="4"/>
        <v>#0%</v>
      </c>
    </row>
    <row r="17" spans="1:23" x14ac:dyDescent="0.3">
      <c r="A17" s="17" t="s">
        <v>165</v>
      </c>
      <c r="B17" s="72">
        <f t="shared" ref="B17:L17" si="16">HLOOKUP(B$1,rate_tbl,6,FALSE)</f>
        <v>0.32</v>
      </c>
      <c r="C17" s="72">
        <f t="shared" si="16"/>
        <v>0.32</v>
      </c>
      <c r="D17" s="72">
        <f t="shared" si="16"/>
        <v>0.32</v>
      </c>
      <c r="E17" s="72">
        <f t="shared" si="16"/>
        <v>0.32</v>
      </c>
      <c r="F17" s="72">
        <f t="shared" si="16"/>
        <v>0.32</v>
      </c>
      <c r="G17" s="72">
        <f t="shared" si="16"/>
        <v>0.32</v>
      </c>
      <c r="H17" s="72">
        <f t="shared" si="16"/>
        <v>0.32</v>
      </c>
      <c r="I17" s="72">
        <f t="shared" si="16"/>
        <v>0.32</v>
      </c>
      <c r="J17" s="72">
        <f t="shared" si="16"/>
        <v>0.32</v>
      </c>
      <c r="K17" s="72">
        <f t="shared" si="16"/>
        <v>0.32</v>
      </c>
      <c r="L17" s="72">
        <f t="shared" si="16"/>
        <v>0.32</v>
      </c>
      <c r="N17" s="50" t="str">
        <f t="shared" si="2"/>
        <v>Rate: ord income bracket 5           32%      32%      32%      32%      32%      32%      32%      32%      32%      32%      32%</v>
      </c>
      <c r="W17" s="125" t="str">
        <f t="shared" si="4"/>
        <v>#0%</v>
      </c>
    </row>
    <row r="18" spans="1:23" x14ac:dyDescent="0.3">
      <c r="A18" s="17" t="s">
        <v>132</v>
      </c>
      <c r="B18" s="72">
        <f t="shared" ref="B18:L18" si="17">HLOOKUP(B$1,rate_tbl,9,FALSE)</f>
        <v>0</v>
      </c>
      <c r="C18" s="72">
        <f t="shared" si="17"/>
        <v>0</v>
      </c>
      <c r="D18" s="72">
        <f t="shared" si="17"/>
        <v>0</v>
      </c>
      <c r="E18" s="72">
        <f t="shared" si="17"/>
        <v>0</v>
      </c>
      <c r="F18" s="72">
        <f t="shared" si="17"/>
        <v>0</v>
      </c>
      <c r="G18" s="72">
        <f t="shared" si="17"/>
        <v>0</v>
      </c>
      <c r="H18" s="72">
        <f t="shared" si="17"/>
        <v>0</v>
      </c>
      <c r="I18" s="72">
        <f t="shared" si="17"/>
        <v>0</v>
      </c>
      <c r="J18" s="72">
        <f t="shared" si="17"/>
        <v>0</v>
      </c>
      <c r="K18" s="72">
        <f t="shared" si="17"/>
        <v>0</v>
      </c>
      <c r="L18" s="72">
        <f t="shared" si="17"/>
        <v>0</v>
      </c>
      <c r="N18" s="50" t="str">
        <f t="shared" si="2"/>
        <v>Rate: LTCG &amp; QDI bracket 1            0%       0%       0%       0%       0%       0%       0%       0%       0%       0%       0%</v>
      </c>
      <c r="W18" s="125" t="str">
        <f t="shared" si="4"/>
        <v>#0%</v>
      </c>
    </row>
    <row r="19" spans="1:23" x14ac:dyDescent="0.3">
      <c r="A19" s="74" t="s">
        <v>133</v>
      </c>
      <c r="B19" s="75">
        <f t="shared" ref="B19:L19" si="18">HLOOKUP(B$1,rate_tbl,10,FALSE)</f>
        <v>0.15</v>
      </c>
      <c r="C19" s="75">
        <f t="shared" si="18"/>
        <v>0.15</v>
      </c>
      <c r="D19" s="75">
        <f t="shared" si="18"/>
        <v>0.15</v>
      </c>
      <c r="E19" s="75">
        <f t="shared" si="18"/>
        <v>0.15</v>
      </c>
      <c r="F19" s="75">
        <f t="shared" si="18"/>
        <v>0.15</v>
      </c>
      <c r="G19" s="75">
        <f t="shared" si="18"/>
        <v>0.15</v>
      </c>
      <c r="H19" s="75">
        <f t="shared" si="18"/>
        <v>0.15</v>
      </c>
      <c r="I19" s="75">
        <f t="shared" si="18"/>
        <v>0.15</v>
      </c>
      <c r="J19" s="75">
        <f t="shared" si="18"/>
        <v>0.15</v>
      </c>
      <c r="K19" s="75">
        <f t="shared" si="18"/>
        <v>0.15</v>
      </c>
      <c r="L19" s="75">
        <f t="shared" si="18"/>
        <v>0.15</v>
      </c>
      <c r="N19" s="50" t="str">
        <f t="shared" si="2"/>
        <v>Rate: LTCG &amp; QDI bracket 2           15%      15%      15%      15%      15%      15%      15%      15%      15%      15%      15%</v>
      </c>
      <c r="W19" s="125" t="str">
        <f t="shared" si="4"/>
        <v>#0%</v>
      </c>
    </row>
    <row r="20" spans="1:23" x14ac:dyDescent="0.3">
      <c r="A20" s="17" t="str">
        <f>"Floor: ord income "&amp;IF(N$3,TEXT(B13,"#0%")&amp;" bracket","bracket "&amp;ROW(A13)-ROW(A$13)+1)</f>
        <v>Floor: ord income 10% bracket</v>
      </c>
      <c r="B20" s="52">
        <f t="shared" ref="B20:L20" si="19">HLOOKUP(B$2&amp;B$1,combo_tbl,8,FALSE)</f>
        <v>0</v>
      </c>
      <c r="C20" s="52">
        <f t="shared" si="19"/>
        <v>0</v>
      </c>
      <c r="D20" s="52">
        <f t="shared" si="19"/>
        <v>0</v>
      </c>
      <c r="E20" s="52">
        <f t="shared" si="19"/>
        <v>0</v>
      </c>
      <c r="F20" s="52">
        <f t="shared" si="19"/>
        <v>0</v>
      </c>
      <c r="G20" s="52">
        <f t="shared" si="19"/>
        <v>0</v>
      </c>
      <c r="H20" s="52">
        <f t="shared" si="19"/>
        <v>0</v>
      </c>
      <c r="I20" s="52">
        <f t="shared" si="19"/>
        <v>0</v>
      </c>
      <c r="J20" s="52">
        <f t="shared" si="19"/>
        <v>0</v>
      </c>
      <c r="K20" s="52">
        <f t="shared" si="19"/>
        <v>0</v>
      </c>
      <c r="L20" s="52">
        <f t="shared" si="19"/>
        <v>0</v>
      </c>
      <c r="N20" s="50" t="str">
        <f t="shared" si="2"/>
        <v xml:space="preserve">Floor: ord income 10% bracket        -        -        -        -        -        -        -        -        -        -        -  </v>
      </c>
      <c r="W20" s="125" t="s">
        <v>291</v>
      </c>
    </row>
    <row r="21" spans="1:23" x14ac:dyDescent="0.3">
      <c r="A21" s="17" t="str">
        <f t="shared" ref="A21:A24" si="20">"Floor: ord income "&amp;IF(N$3,TEXT(B14,"#0%")&amp;" bracket","bracket "&amp;ROW(A14)-ROW(A$13)+1)</f>
        <v>Floor: ord income 12% bracket</v>
      </c>
      <c r="B21" s="52">
        <f t="shared" ref="B21:L21" si="21">HLOOKUP(B$2&amp;B$1,combo_tbl,9,FALSE)</f>
        <v>12400</v>
      </c>
      <c r="C21" s="52">
        <f t="shared" si="21"/>
        <v>12400</v>
      </c>
      <c r="D21" s="52">
        <f t="shared" si="21"/>
        <v>12400</v>
      </c>
      <c r="E21" s="52">
        <f t="shared" si="21"/>
        <v>12400</v>
      </c>
      <c r="F21" s="52">
        <f t="shared" si="21"/>
        <v>12400</v>
      </c>
      <c r="G21" s="52">
        <f t="shared" si="21"/>
        <v>12400</v>
      </c>
      <c r="H21" s="52">
        <f t="shared" si="21"/>
        <v>12400</v>
      </c>
      <c r="I21" s="52">
        <f t="shared" si="21"/>
        <v>12400</v>
      </c>
      <c r="J21" s="52">
        <f t="shared" si="21"/>
        <v>12400</v>
      </c>
      <c r="K21" s="52">
        <f t="shared" si="21"/>
        <v>12400</v>
      </c>
      <c r="L21" s="52">
        <f t="shared" si="21"/>
        <v>12400</v>
      </c>
      <c r="N21" s="50" t="str">
        <f t="shared" si="2"/>
        <v>Floor: ord income 12% bracket     12,400   12,400   12,400   12,400   12,400   12,400   12,400   12,400   12,400   12,400   12,400</v>
      </c>
      <c r="W21" s="125" t="str">
        <f t="shared" si="4"/>
        <v>###,##0;;-_0_0</v>
      </c>
    </row>
    <row r="22" spans="1:23" x14ac:dyDescent="0.3">
      <c r="A22" s="17" t="str">
        <f t="shared" si="20"/>
        <v>Floor: ord income 22% bracket</v>
      </c>
      <c r="B22" s="52">
        <f t="shared" ref="B22:L22" si="22">HLOOKUP(B$2&amp;B$1,combo_tbl,10,FALSE)</f>
        <v>50400</v>
      </c>
      <c r="C22" s="52">
        <f t="shared" si="22"/>
        <v>50400</v>
      </c>
      <c r="D22" s="52">
        <f t="shared" si="22"/>
        <v>50400</v>
      </c>
      <c r="E22" s="52">
        <f t="shared" si="22"/>
        <v>50400</v>
      </c>
      <c r="F22" s="52">
        <f t="shared" si="22"/>
        <v>50400</v>
      </c>
      <c r="G22" s="52">
        <f t="shared" si="22"/>
        <v>50400</v>
      </c>
      <c r="H22" s="52">
        <f t="shared" si="22"/>
        <v>50400</v>
      </c>
      <c r="I22" s="52">
        <f t="shared" si="22"/>
        <v>50400</v>
      </c>
      <c r="J22" s="52">
        <f t="shared" si="22"/>
        <v>50400</v>
      </c>
      <c r="K22" s="52">
        <f t="shared" si="22"/>
        <v>50400</v>
      </c>
      <c r="L22" s="52">
        <f t="shared" si="22"/>
        <v>50400</v>
      </c>
      <c r="N22" s="50" t="str">
        <f t="shared" si="2"/>
        <v>Floor: ord income 22% bracket     50,400   50,400   50,400   50,400   50,400   50,400   50,400   50,400   50,400   50,400   50,400</v>
      </c>
      <c r="W22" s="125" t="str">
        <f t="shared" si="4"/>
        <v>###,##0;;-_0_0</v>
      </c>
    </row>
    <row r="23" spans="1:23" x14ac:dyDescent="0.3">
      <c r="A23" s="17" t="str">
        <f t="shared" si="20"/>
        <v>Floor: ord income 24% bracket</v>
      </c>
      <c r="B23" s="52">
        <f t="shared" ref="B23:L23" si="23">HLOOKUP(B$2&amp;B$1,combo_tbl,11,FALSE)</f>
        <v>105700</v>
      </c>
      <c r="C23" s="52">
        <f t="shared" si="23"/>
        <v>105700</v>
      </c>
      <c r="D23" s="52">
        <f t="shared" si="23"/>
        <v>105700</v>
      </c>
      <c r="E23" s="52">
        <f t="shared" si="23"/>
        <v>105700</v>
      </c>
      <c r="F23" s="52">
        <f t="shared" si="23"/>
        <v>105700</v>
      </c>
      <c r="G23" s="52">
        <f t="shared" si="23"/>
        <v>105700</v>
      </c>
      <c r="H23" s="52">
        <f t="shared" si="23"/>
        <v>105700</v>
      </c>
      <c r="I23" s="52">
        <f t="shared" si="23"/>
        <v>105700</v>
      </c>
      <c r="J23" s="52">
        <f t="shared" si="23"/>
        <v>105700</v>
      </c>
      <c r="K23" s="52">
        <f t="shared" si="23"/>
        <v>105700</v>
      </c>
      <c r="L23" s="52">
        <f t="shared" si="23"/>
        <v>105700</v>
      </c>
      <c r="N23" s="50" t="str">
        <f t="shared" si="2"/>
        <v>Floor: ord income 24% bracket    105,700  105,700  105,700  105,700  105,700  105,700  105,700  105,700  105,700  105,700  105,700</v>
      </c>
      <c r="W23" s="125" t="str">
        <f t="shared" si="4"/>
        <v>###,##0;;-_0_0</v>
      </c>
    </row>
    <row r="24" spans="1:23" x14ac:dyDescent="0.3">
      <c r="A24" s="17" t="str">
        <f t="shared" si="20"/>
        <v>Floor: ord income 32% bracket</v>
      </c>
      <c r="B24" s="52">
        <f t="shared" ref="B24:L24" si="24">HLOOKUP(B$2&amp;B$1,combo_tbl,12,FALSE)</f>
        <v>201775</v>
      </c>
      <c r="C24" s="52">
        <f t="shared" si="24"/>
        <v>201775</v>
      </c>
      <c r="D24" s="52">
        <f t="shared" si="24"/>
        <v>201775</v>
      </c>
      <c r="E24" s="52">
        <f t="shared" si="24"/>
        <v>201775</v>
      </c>
      <c r="F24" s="52">
        <f t="shared" si="24"/>
        <v>201775</v>
      </c>
      <c r="G24" s="52">
        <f t="shared" si="24"/>
        <v>201775</v>
      </c>
      <c r="H24" s="52">
        <f t="shared" si="24"/>
        <v>201775</v>
      </c>
      <c r="I24" s="52">
        <f t="shared" si="24"/>
        <v>201775</v>
      </c>
      <c r="J24" s="52">
        <f t="shared" si="24"/>
        <v>201775</v>
      </c>
      <c r="K24" s="52">
        <f t="shared" si="24"/>
        <v>201775</v>
      </c>
      <c r="L24" s="52">
        <f t="shared" si="24"/>
        <v>201775</v>
      </c>
      <c r="N24" s="50" t="str">
        <f t="shared" si="2"/>
        <v>Floor: ord income 32% bracket    201,775  201,775  201,775  201,775  201,775  201,775  201,775  201,775  201,775  201,775  201,775</v>
      </c>
      <c r="W24" s="125" t="str">
        <f t="shared" si="4"/>
        <v>###,##0;;-_0_0</v>
      </c>
    </row>
    <row r="25" spans="1:23" x14ac:dyDescent="0.3">
      <c r="A25" s="17" t="str">
        <f>"Floor: LTCG &amp; QDI "&amp;IF(N$3,RIGHT(" "&amp;TEXT(B18,"#0%"),3)&amp;" bracket","bracket "&amp;ROW(A18)-ROW(A$18)+1)</f>
        <v>Floor: LTCG &amp; QDI  0% bracket</v>
      </c>
      <c r="B25" s="52">
        <f t="shared" ref="B25:L25" si="25">HLOOKUP(B$2&amp;B$1,combo_tbl,15,FALSE)</f>
        <v>0</v>
      </c>
      <c r="C25" s="52">
        <f t="shared" si="25"/>
        <v>0</v>
      </c>
      <c r="D25" s="52">
        <f t="shared" si="25"/>
        <v>0</v>
      </c>
      <c r="E25" s="52">
        <f t="shared" si="25"/>
        <v>0</v>
      </c>
      <c r="F25" s="52">
        <f t="shared" si="25"/>
        <v>0</v>
      </c>
      <c r="G25" s="52">
        <f t="shared" si="25"/>
        <v>0</v>
      </c>
      <c r="H25" s="52">
        <f t="shared" si="25"/>
        <v>0</v>
      </c>
      <c r="I25" s="52">
        <f t="shared" si="25"/>
        <v>0</v>
      </c>
      <c r="J25" s="52">
        <f t="shared" si="25"/>
        <v>0</v>
      </c>
      <c r="K25" s="52">
        <f t="shared" si="25"/>
        <v>0</v>
      </c>
      <c r="L25" s="52">
        <f t="shared" si="25"/>
        <v>0</v>
      </c>
      <c r="N25" s="50" t="str">
        <f t="shared" si="2"/>
        <v xml:space="preserve">Floor: LTCG &amp; QDI  0% bracket        -        -        -        -        -        -        -        -        -        -        -  </v>
      </c>
      <c r="W25" s="125" t="str">
        <f t="shared" si="4"/>
        <v>###,##0;;-_0_0</v>
      </c>
    </row>
    <row r="26" spans="1:23" x14ac:dyDescent="0.3">
      <c r="A26" s="74" t="str">
        <f>"Floor: LTCG &amp; QDI "&amp;IF(N$3,RIGHT(" "&amp;TEXT(B19,"#0%"),3)&amp;" bracket","bracket "&amp;ROW(A19)-ROW(A$18)+1)</f>
        <v>Floor: LTCG &amp; QDI 15% bracket</v>
      </c>
      <c r="B26" s="53">
        <f t="shared" ref="B26:L26" si="26">HLOOKUP(B$2&amp;B$1,combo_tbl,16,FALSE)</f>
        <v>49450</v>
      </c>
      <c r="C26" s="53">
        <f t="shared" si="26"/>
        <v>49450</v>
      </c>
      <c r="D26" s="53">
        <f t="shared" si="26"/>
        <v>49450</v>
      </c>
      <c r="E26" s="53">
        <f t="shared" si="26"/>
        <v>49450</v>
      </c>
      <c r="F26" s="53">
        <f t="shared" si="26"/>
        <v>49450</v>
      </c>
      <c r="G26" s="53">
        <f t="shared" si="26"/>
        <v>49450</v>
      </c>
      <c r="H26" s="53">
        <f t="shared" si="26"/>
        <v>49450</v>
      </c>
      <c r="I26" s="53">
        <f t="shared" si="26"/>
        <v>49450</v>
      </c>
      <c r="J26" s="53">
        <f t="shared" si="26"/>
        <v>49450</v>
      </c>
      <c r="K26" s="53">
        <f t="shared" si="26"/>
        <v>49450</v>
      </c>
      <c r="L26" s="53">
        <f t="shared" si="26"/>
        <v>49450</v>
      </c>
      <c r="M26" s="51"/>
      <c r="N26" s="50" t="str">
        <f t="shared" si="2"/>
        <v>Floor: LTCG &amp; QDI 15% bracket     49,450   49,450   49,450   49,450   49,450   49,450   49,450   49,450   49,450   49,450   49,450</v>
      </c>
      <c r="W26" s="125" t="str">
        <f t="shared" si="4"/>
        <v>###,##0;;-_0_0</v>
      </c>
    </row>
    <row r="27" spans="1:23" x14ac:dyDescent="0.3">
      <c r="A27" t="s">
        <v>9</v>
      </c>
      <c r="B27" s="52">
        <f t="shared" ref="B27:H27" si="27">B4+B5+B6+B7/2</f>
        <v>25000</v>
      </c>
      <c r="C27" s="52">
        <f t="shared" si="27"/>
        <v>34000</v>
      </c>
      <c r="D27" s="52">
        <f t="shared" si="27"/>
        <v>35972.972972972973</v>
      </c>
      <c r="E27" s="52">
        <f t="shared" si="27"/>
        <v>42675.675675675673</v>
      </c>
      <c r="F27" s="52">
        <f t="shared" si="27"/>
        <v>63216.216216216213</v>
      </c>
      <c r="G27" s="52">
        <f t="shared" si="27"/>
        <v>63459.45945945946</v>
      </c>
      <c r="H27" s="52">
        <f t="shared" si="27"/>
        <v>64705.882352941175</v>
      </c>
      <c r="I27" s="52">
        <f t="shared" ref="I27:K27" si="28">I4+I5+I6+I7/2</f>
        <v>114145.28301886792</v>
      </c>
      <c r="J27" s="52">
        <f t="shared" si="28"/>
        <v>162400</v>
      </c>
      <c r="K27" s="52">
        <f t="shared" si="28"/>
        <v>207325</v>
      </c>
      <c r="L27" s="52">
        <f t="shared" ref="L27" si="29">L4+L5+L6+L7/2</f>
        <v>208325</v>
      </c>
      <c r="N27" s="50" t="str">
        <f t="shared" si="2"/>
        <v>SS Relevant Income                25,000   34,000   35,973   42,676   63,216   63,459   64,706  114,145  162,400  207,325  208,325</v>
      </c>
      <c r="W27" s="125" t="str">
        <f t="shared" si="4"/>
        <v>###,##0;;-_0_0</v>
      </c>
    </row>
    <row r="28" spans="1:23" x14ac:dyDescent="0.3">
      <c r="A28" t="s">
        <v>85</v>
      </c>
      <c r="B28" s="52">
        <f>MIN(50%*B7,MAX(0,50%*MIN(B27-B11,B12-B11)))</f>
        <v>0</v>
      </c>
      <c r="C28" s="52">
        <f t="shared" ref="C28:H28" si="30">MIN(50%*C7,MAX(0,50%*MIN(C27-C11,C12-C11)))</f>
        <v>4500</v>
      </c>
      <c r="D28" s="52">
        <f t="shared" si="30"/>
        <v>4500</v>
      </c>
      <c r="E28" s="52">
        <f t="shared" si="30"/>
        <v>4500</v>
      </c>
      <c r="F28" s="52">
        <f t="shared" si="30"/>
        <v>4500</v>
      </c>
      <c r="G28" s="52">
        <f t="shared" si="30"/>
        <v>4500</v>
      </c>
      <c r="H28" s="52">
        <f t="shared" si="30"/>
        <v>4500</v>
      </c>
      <c r="I28" s="52">
        <f t="shared" ref="I28:K28" si="31">MIN(50%*I7,MAX(0,50%*MIN(I27-I11,I12-I11)))</f>
        <v>4500</v>
      </c>
      <c r="J28" s="52">
        <f t="shared" si="31"/>
        <v>4500</v>
      </c>
      <c r="K28" s="52">
        <f t="shared" si="31"/>
        <v>4500</v>
      </c>
      <c r="L28" s="52">
        <f t="shared" ref="L28" si="32">MIN(50%*L7,MAX(0,50%*MIN(L27-L11,L12-L11)))</f>
        <v>4500</v>
      </c>
      <c r="N28" s="50" t="str">
        <f t="shared" si="2"/>
        <v>50% SS taxable                       -      4,500    4,500    4,500    4,500    4,500    4,500    4,500    4,500    4,500    4,500</v>
      </c>
      <c r="W28" s="125" t="str">
        <f t="shared" si="4"/>
        <v>###,##0;;-_0_0</v>
      </c>
    </row>
    <row r="29" spans="1:23" x14ac:dyDescent="0.3">
      <c r="A29" s="51" t="s">
        <v>86</v>
      </c>
      <c r="B29" s="53">
        <f t="shared" ref="B29:H29" si="33">MIN(85%*B7-B28,85%*MAX(0,B27-B12))</f>
        <v>0</v>
      </c>
      <c r="C29" s="53">
        <f t="shared" si="33"/>
        <v>0</v>
      </c>
      <c r="D29" s="53">
        <f t="shared" si="33"/>
        <v>1677.0270270270273</v>
      </c>
      <c r="E29" s="53">
        <f t="shared" si="33"/>
        <v>7374.3243243243223</v>
      </c>
      <c r="F29" s="53">
        <f t="shared" si="33"/>
        <v>24833.78378378378</v>
      </c>
      <c r="G29" s="53">
        <f t="shared" si="33"/>
        <v>25040.54054054054</v>
      </c>
      <c r="H29" s="53">
        <f t="shared" si="33"/>
        <v>26099.999999999996</v>
      </c>
      <c r="I29" s="53">
        <f t="shared" ref="I29:K29" si="34">MIN(85%*I7-I28,85%*MAX(0,I27-I12))</f>
        <v>26100</v>
      </c>
      <c r="J29" s="53">
        <f t="shared" si="34"/>
        <v>26100</v>
      </c>
      <c r="K29" s="53">
        <f t="shared" si="34"/>
        <v>26100</v>
      </c>
      <c r="L29" s="53">
        <f t="shared" ref="L29" si="35">MIN(85%*L7-L28,85%*MAX(0,L27-L12))</f>
        <v>26100</v>
      </c>
      <c r="M29" s="51"/>
      <c r="N29" s="50" t="str">
        <f t="shared" si="2"/>
        <v>85% SS taxable                       -        -      1,677    7,374   24,834   25,041   26,100   26,100   26,100   26,100   26,100</v>
      </c>
      <c r="W29" s="125" t="str">
        <f t="shared" si="4"/>
        <v>###,##0;;-_0_0</v>
      </c>
    </row>
    <row r="30" spans="1:23" x14ac:dyDescent="0.3">
      <c r="A30" s="51" t="s">
        <v>87</v>
      </c>
      <c r="B30" s="53">
        <f>B28+B29</f>
        <v>0</v>
      </c>
      <c r="C30" s="53">
        <f>C28+C29</f>
        <v>4500</v>
      </c>
      <c r="D30" s="53">
        <f t="shared" ref="D30:H30" si="36">D28+D29</f>
        <v>6177.0270270270275</v>
      </c>
      <c r="E30" s="53">
        <f t="shared" si="36"/>
        <v>11874.324324324323</v>
      </c>
      <c r="F30" s="53">
        <f t="shared" si="36"/>
        <v>29333.78378378378</v>
      </c>
      <c r="G30" s="53">
        <f t="shared" si="36"/>
        <v>29540.54054054054</v>
      </c>
      <c r="H30" s="53">
        <f t="shared" si="36"/>
        <v>30599.999999999996</v>
      </c>
      <c r="I30" s="53">
        <f t="shared" ref="I30:K30" si="37">I28+I29</f>
        <v>30600</v>
      </c>
      <c r="J30" s="53">
        <f t="shared" si="37"/>
        <v>30600</v>
      </c>
      <c r="K30" s="53">
        <f t="shared" si="37"/>
        <v>30600</v>
      </c>
      <c r="L30" s="53">
        <f t="shared" ref="L30" si="38">L28+L29</f>
        <v>30600</v>
      </c>
      <c r="M30" s="51"/>
      <c r="N30" s="50" t="str">
        <f t="shared" si="2"/>
        <v>Total SS taxable                     -      4,500    6,177   11,874   29,334   29,541   30,600   30,600   30,600   30,600   30,600</v>
      </c>
      <c r="W30" s="125" t="str">
        <f t="shared" si="4"/>
        <v>###,##0;;-_0_0</v>
      </c>
    </row>
    <row r="31" spans="1:23" x14ac:dyDescent="0.3">
      <c r="A31" t="s">
        <v>82</v>
      </c>
      <c r="B31" s="52">
        <f t="shared" ref="B31:H31" si="39">B5+B6+B30</f>
        <v>7000</v>
      </c>
      <c r="C31" s="52">
        <f t="shared" si="39"/>
        <v>20500</v>
      </c>
      <c r="D31" s="52">
        <f t="shared" si="39"/>
        <v>24150</v>
      </c>
      <c r="E31" s="52">
        <f t="shared" si="39"/>
        <v>36550</v>
      </c>
      <c r="F31" s="52">
        <f t="shared" si="39"/>
        <v>74550</v>
      </c>
      <c r="G31" s="52">
        <f t="shared" si="39"/>
        <v>75000</v>
      </c>
      <c r="H31" s="52">
        <f t="shared" si="39"/>
        <v>77305.882352941175</v>
      </c>
      <c r="I31" s="52">
        <f t="shared" ref="I31:K31" si="40">I5+I6+I30</f>
        <v>126745.28301886792</v>
      </c>
      <c r="J31" s="52">
        <f t="shared" si="40"/>
        <v>175000</v>
      </c>
      <c r="K31" s="52">
        <f t="shared" si="40"/>
        <v>219925</v>
      </c>
      <c r="L31" s="52">
        <f t="shared" ref="L31" si="41">L5+L6+L30</f>
        <v>220925</v>
      </c>
      <c r="N31" s="50" t="str">
        <f t="shared" si="2"/>
        <v>Adjusted gross income              7,000   20,500   24,150   36,550   74,550   75,000   77,306  126,745  175,000  219,925  220,925</v>
      </c>
      <c r="W31" s="125" t="str">
        <f t="shared" si="4"/>
        <v>###,##0;;-_0_0</v>
      </c>
    </row>
    <row r="32" spans="1:23" x14ac:dyDescent="0.3">
      <c r="A32" t="s">
        <v>263</v>
      </c>
      <c r="B32" s="52">
        <f t="shared" ref="B32:L32" si="42">IF(HLOOKUP(B2&amp;B1,combo_tbl,18,FALSE)=0,0,B3*HLOOKUP(B2&amp;B1,combo_tbl,18,FALSE)*(1-MAX(0,MIN(1,(B31-HLOOKUP(B2&amp;B1,combo_tbl,19,FALSE))/(HLOOKUP(B2&amp;B1,combo_tbl,20,FALSE)-HLOOKUP(B2&amp;B1,combo_tbl,19,FALSE))))))</f>
        <v>6000</v>
      </c>
      <c r="C32" s="52">
        <f t="shared" si="42"/>
        <v>6000</v>
      </c>
      <c r="D32" s="52">
        <f t="shared" si="42"/>
        <v>6000</v>
      </c>
      <c r="E32" s="52">
        <f t="shared" si="42"/>
        <v>6000</v>
      </c>
      <c r="F32" s="52">
        <f t="shared" si="42"/>
        <v>6000</v>
      </c>
      <c r="G32" s="52">
        <f t="shared" si="42"/>
        <v>6000</v>
      </c>
      <c r="H32" s="52">
        <f t="shared" si="42"/>
        <v>5861.6470588235288</v>
      </c>
      <c r="I32" s="52">
        <f t="shared" si="42"/>
        <v>2895.2830188679245</v>
      </c>
      <c r="J32" s="52">
        <f t="shared" si="42"/>
        <v>0</v>
      </c>
      <c r="K32" s="52">
        <f t="shared" si="42"/>
        <v>0</v>
      </c>
      <c r="L32" s="52">
        <f t="shared" si="42"/>
        <v>0</v>
      </c>
      <c r="N32" s="50" t="str">
        <f t="shared" si="2"/>
        <v xml:space="preserve">Temp extra 65+ deduction           6,000    6,000    6,000    6,000    6,000    6,000    5,862    2,895      -        -        -  </v>
      </c>
      <c r="W32" s="125" t="str">
        <f t="shared" si="4"/>
        <v>###,##0;;-_0_0</v>
      </c>
    </row>
    <row r="33" spans="1:23" x14ac:dyDescent="0.3">
      <c r="A33" s="123" t="s">
        <v>15</v>
      </c>
      <c r="B33" s="124">
        <f>MAX(0,B31-B10-B32)</f>
        <v>0</v>
      </c>
      <c r="C33" s="124">
        <f t="shared" ref="C33:G33" si="43">MAX(0,C31-C10-C32)</f>
        <v>0</v>
      </c>
      <c r="D33" s="124">
        <f t="shared" si="43"/>
        <v>0</v>
      </c>
      <c r="E33" s="124">
        <f t="shared" si="43"/>
        <v>12400</v>
      </c>
      <c r="F33" s="124">
        <f t="shared" si="43"/>
        <v>50400</v>
      </c>
      <c r="G33" s="124">
        <f t="shared" si="43"/>
        <v>50850</v>
      </c>
      <c r="H33" s="124">
        <f>MAX(0,H31-H10-H32)</f>
        <v>53294.235294117643</v>
      </c>
      <c r="I33" s="124">
        <f t="shared" ref="I33:K33" si="44">MAX(0,I31-I10-I32)</f>
        <v>105700</v>
      </c>
      <c r="J33" s="124">
        <f t="shared" si="44"/>
        <v>156850</v>
      </c>
      <c r="K33" s="124">
        <f t="shared" si="44"/>
        <v>201775</v>
      </c>
      <c r="L33" s="124">
        <f t="shared" ref="L33" si="45">MAX(0,L31-L10-L32)</f>
        <v>202775</v>
      </c>
      <c r="N33" s="50" t="str">
        <f t="shared" si="2"/>
        <v>Taxable Income                       -        -        -     12,400   50,400   50,850   53,294  105,700  156,850  201,775  202,775</v>
      </c>
      <c r="W33" s="125" t="str">
        <f t="shared" si="4"/>
        <v>###,##0;;-_0_0</v>
      </c>
    </row>
    <row r="34" spans="1:23" x14ac:dyDescent="0.3">
      <c r="A34" t="s">
        <v>16</v>
      </c>
      <c r="B34" s="54">
        <f t="shared" ref="B34:H34" si="46">MIN(B6,B33)</f>
        <v>0</v>
      </c>
      <c r="C34" s="54">
        <f t="shared" si="46"/>
        <v>0</v>
      </c>
      <c r="D34" s="54">
        <f t="shared" si="46"/>
        <v>0</v>
      </c>
      <c r="E34" s="54">
        <f t="shared" si="46"/>
        <v>0</v>
      </c>
      <c r="F34" s="54">
        <f t="shared" si="46"/>
        <v>0</v>
      </c>
      <c r="G34" s="54">
        <f t="shared" si="46"/>
        <v>0</v>
      </c>
      <c r="H34" s="54">
        <f t="shared" si="46"/>
        <v>0</v>
      </c>
      <c r="I34" s="54">
        <f t="shared" ref="I34:K34" si="47">MIN(I6,I33)</f>
        <v>0</v>
      </c>
      <c r="J34" s="54">
        <f t="shared" si="47"/>
        <v>0</v>
      </c>
      <c r="K34" s="54">
        <f t="shared" si="47"/>
        <v>0</v>
      </c>
      <c r="L34" s="54">
        <f t="shared" ref="L34" si="48">MIN(L6,L33)</f>
        <v>0</v>
      </c>
      <c r="N34" s="50" t="str">
        <f t="shared" si="2"/>
        <v xml:space="preserve">LTCG &amp; QDI Taxable                   -        -        -        -        -        -        -        -        -        -        -  </v>
      </c>
      <c r="W34" s="125" t="str">
        <f t="shared" si="4"/>
        <v>###,##0;;-_0_0</v>
      </c>
    </row>
    <row r="35" spans="1:23" x14ac:dyDescent="0.3">
      <c r="A35" s="51" t="s">
        <v>167</v>
      </c>
      <c r="B35" s="53">
        <f>B33-B34</f>
        <v>0</v>
      </c>
      <c r="C35" s="53">
        <f>C33-C34</f>
        <v>0</v>
      </c>
      <c r="D35" s="53">
        <f>D33-D34</f>
        <v>0</v>
      </c>
      <c r="E35" s="53">
        <f t="shared" ref="E35:H35" si="49">E33-E34</f>
        <v>12400</v>
      </c>
      <c r="F35" s="53">
        <f t="shared" si="49"/>
        <v>50400</v>
      </c>
      <c r="G35" s="53">
        <f t="shared" si="49"/>
        <v>50850</v>
      </c>
      <c r="H35" s="53">
        <f t="shared" si="49"/>
        <v>53294.235294117643</v>
      </c>
      <c r="I35" s="53">
        <f t="shared" ref="I35:K35" si="50">I33-I34</f>
        <v>105700</v>
      </c>
      <c r="J35" s="53">
        <f t="shared" si="50"/>
        <v>156850</v>
      </c>
      <c r="K35" s="53">
        <f t="shared" si="50"/>
        <v>201775</v>
      </c>
      <c r="L35" s="53">
        <f t="shared" ref="L35" si="51">L33-L34</f>
        <v>202775</v>
      </c>
      <c r="M35" s="51"/>
      <c r="N35" s="50" t="str">
        <f t="shared" si="2"/>
        <v>Ordinary income taxable              -        -        -     12,400   50,400   50,850   53,294  105,700  156,850  201,775  202,775</v>
      </c>
      <c r="W35" s="125" t="str">
        <f t="shared" si="4"/>
        <v>###,##0;;-_0_0</v>
      </c>
    </row>
    <row r="36" spans="1:23" x14ac:dyDescent="0.3">
      <c r="A36" t="str">
        <f>"Taxable: ord income "&amp;IF(N$3,TEXT(B$17,"#0%")&amp;" bracket","bracket 5")</f>
        <v>Taxable: ord income 32% bracket</v>
      </c>
      <c r="B36" s="52">
        <f>MAX(0,B$35-B24)</f>
        <v>0</v>
      </c>
      <c r="C36" s="52">
        <f t="shared" ref="C36:H36" si="52">MAX(0,C$35-C24)</f>
        <v>0</v>
      </c>
      <c r="D36" s="52">
        <f t="shared" si="52"/>
        <v>0</v>
      </c>
      <c r="E36" s="52">
        <f t="shared" si="52"/>
        <v>0</v>
      </c>
      <c r="F36" s="52">
        <f t="shared" si="52"/>
        <v>0</v>
      </c>
      <c r="G36" s="52">
        <f t="shared" si="52"/>
        <v>0</v>
      </c>
      <c r="H36" s="52">
        <f t="shared" si="52"/>
        <v>0</v>
      </c>
      <c r="I36" s="52">
        <f t="shared" ref="I36:K36" si="53">MAX(0,I$35-I24)</f>
        <v>0</v>
      </c>
      <c r="J36" s="52">
        <f t="shared" si="53"/>
        <v>0</v>
      </c>
      <c r="K36" s="52">
        <f t="shared" si="53"/>
        <v>0</v>
      </c>
      <c r="L36" s="52">
        <f t="shared" ref="L36" si="54">MAX(0,L$35-L24)</f>
        <v>1000</v>
      </c>
      <c r="N36" s="50" t="str">
        <f t="shared" si="2"/>
        <v>Taxable: ord income 32% bracket      -        -        -        -        -        -        -        -        -        -      1,000</v>
      </c>
      <c r="W36" s="125" t="str">
        <f t="shared" si="4"/>
        <v>###,##0;;-_0_0</v>
      </c>
    </row>
    <row r="37" spans="1:23" x14ac:dyDescent="0.3">
      <c r="A37" t="str">
        <f>"Taxable: ord income "&amp;IF(N$3,TEXT(B$16,"#0%")&amp;" bracket","bracket 4")</f>
        <v>Taxable: ord income 24% bracket</v>
      </c>
      <c r="B37" s="52">
        <f>MAX(0,B$35-B23)-B36</f>
        <v>0</v>
      </c>
      <c r="C37" s="52">
        <f t="shared" ref="C37:H37" si="55">MAX(0,C$35-C23)-C36</f>
        <v>0</v>
      </c>
      <c r="D37" s="52">
        <f t="shared" si="55"/>
        <v>0</v>
      </c>
      <c r="E37" s="52">
        <f t="shared" si="55"/>
        <v>0</v>
      </c>
      <c r="F37" s="52">
        <f t="shared" si="55"/>
        <v>0</v>
      </c>
      <c r="G37" s="52">
        <f t="shared" si="55"/>
        <v>0</v>
      </c>
      <c r="H37" s="52">
        <f t="shared" si="55"/>
        <v>0</v>
      </c>
      <c r="I37" s="52">
        <f t="shared" ref="I37:K37" si="56">MAX(0,I$35-I23)-I36</f>
        <v>0</v>
      </c>
      <c r="J37" s="52">
        <f t="shared" si="56"/>
        <v>51150</v>
      </c>
      <c r="K37" s="52">
        <f t="shared" si="56"/>
        <v>96075</v>
      </c>
      <c r="L37" s="52">
        <f t="shared" ref="L37" si="57">MAX(0,L$35-L23)-L36</f>
        <v>96075</v>
      </c>
      <c r="N37" s="50" t="str">
        <f t="shared" si="2"/>
        <v>Taxable: ord income 24% bracket      -        -        -        -        -        -        -        -     51,150   96,075   96,075</v>
      </c>
      <c r="W37" s="125" t="str">
        <f t="shared" si="4"/>
        <v>###,##0;;-_0_0</v>
      </c>
    </row>
    <row r="38" spans="1:23" x14ac:dyDescent="0.3">
      <c r="A38" t="str">
        <f>"Taxable: ord income "&amp;IF(N$3,TEXT(B$15,"#0%")&amp;" bracket","bracket 3")</f>
        <v>Taxable: ord income 22% bracket</v>
      </c>
      <c r="B38" s="52">
        <f>MAX(0,B$35-B22)-B36-B37</f>
        <v>0</v>
      </c>
      <c r="C38" s="52">
        <f t="shared" ref="C38:H38" si="58">MAX(0,C$35-C22)-C36-C37</f>
        <v>0</v>
      </c>
      <c r="D38" s="52">
        <f t="shared" si="58"/>
        <v>0</v>
      </c>
      <c r="E38" s="52">
        <f t="shared" si="58"/>
        <v>0</v>
      </c>
      <c r="F38" s="52">
        <f t="shared" si="58"/>
        <v>0</v>
      </c>
      <c r="G38" s="52">
        <f t="shared" si="58"/>
        <v>450</v>
      </c>
      <c r="H38" s="52">
        <f t="shared" si="58"/>
        <v>2894.2352941176432</v>
      </c>
      <c r="I38" s="52">
        <f t="shared" ref="I38:K38" si="59">MAX(0,I$35-I22)-I36-I37</f>
        <v>55300</v>
      </c>
      <c r="J38" s="52">
        <f t="shared" si="59"/>
        <v>55300</v>
      </c>
      <c r="K38" s="52">
        <f t="shared" si="59"/>
        <v>55300</v>
      </c>
      <c r="L38" s="52">
        <f t="shared" ref="L38" si="60">MAX(0,L$35-L22)-L36-L37</f>
        <v>55300</v>
      </c>
      <c r="N38" s="50" t="str">
        <f t="shared" si="2"/>
        <v>Taxable: ord income 22% bracket      -        -        -        -        -        450    2,894   55,300   55,300   55,300   55,300</v>
      </c>
      <c r="W38" s="125" t="str">
        <f t="shared" si="4"/>
        <v>###,##0;;-_0_0</v>
      </c>
    </row>
    <row r="39" spans="1:23" x14ac:dyDescent="0.3">
      <c r="A39" t="str">
        <f>"Taxable: ord income "&amp;IF(N$3,TEXT(B$14,"#0%")&amp;" bracket","bracket 2")</f>
        <v>Taxable: ord income 12% bracket</v>
      </c>
      <c r="B39" s="52">
        <f>MAX(0,B$35-B21)-B36-B37-B38</f>
        <v>0</v>
      </c>
      <c r="C39" s="52">
        <f t="shared" ref="C39:H39" si="61">MAX(0,C$35-C21)-C36-C37-C38</f>
        <v>0</v>
      </c>
      <c r="D39" s="52">
        <f t="shared" si="61"/>
        <v>0</v>
      </c>
      <c r="E39" s="52">
        <f t="shared" si="61"/>
        <v>0</v>
      </c>
      <c r="F39" s="52">
        <f t="shared" si="61"/>
        <v>38000</v>
      </c>
      <c r="G39" s="52">
        <f t="shared" si="61"/>
        <v>38000</v>
      </c>
      <c r="H39" s="52">
        <f t="shared" si="61"/>
        <v>38000</v>
      </c>
      <c r="I39" s="52">
        <f t="shared" ref="I39:K39" si="62">MAX(0,I$35-I21)-I36-I37-I38</f>
        <v>38000</v>
      </c>
      <c r="J39" s="52">
        <f t="shared" si="62"/>
        <v>38000</v>
      </c>
      <c r="K39" s="52">
        <f t="shared" si="62"/>
        <v>38000</v>
      </c>
      <c r="L39" s="52">
        <f t="shared" ref="L39" si="63">MAX(0,L$35-L21)-L36-L37-L38</f>
        <v>38000</v>
      </c>
      <c r="N39" s="50" t="str">
        <f t="shared" si="2"/>
        <v>Taxable: ord income 12% bracket      -        -        -        -     38,000   38,000   38,000   38,000   38,000   38,000   38,000</v>
      </c>
      <c r="W39" s="125" t="str">
        <f t="shared" si="4"/>
        <v>###,##0;;-_0_0</v>
      </c>
    </row>
    <row r="40" spans="1:23" x14ac:dyDescent="0.3">
      <c r="A40" t="str">
        <f>"Taxable: ord income "&amp;IF(N$3,TEXT(B$13,"#0%")&amp;" bracket","bracket 1")</f>
        <v>Taxable: ord income 10% bracket</v>
      </c>
      <c r="B40" s="52">
        <f>MAX(0,B$35-B20)-B36-B37-B38-B39</f>
        <v>0</v>
      </c>
      <c r="C40" s="52">
        <f t="shared" ref="C40:H40" si="64">MAX(0,C$35-C20)-C36-C37-C38-C39</f>
        <v>0</v>
      </c>
      <c r="D40" s="52">
        <f t="shared" si="64"/>
        <v>0</v>
      </c>
      <c r="E40" s="52">
        <f t="shared" si="64"/>
        <v>12400</v>
      </c>
      <c r="F40" s="52">
        <f t="shared" si="64"/>
        <v>12400</v>
      </c>
      <c r="G40" s="52">
        <f t="shared" si="64"/>
        <v>12400</v>
      </c>
      <c r="H40" s="52">
        <f t="shared" si="64"/>
        <v>12400</v>
      </c>
      <c r="I40" s="52">
        <f t="shared" ref="I40:K40" si="65">MAX(0,I$35-I20)-I36-I37-I38-I39</f>
        <v>12400</v>
      </c>
      <c r="J40" s="52">
        <f t="shared" si="65"/>
        <v>12400</v>
      </c>
      <c r="K40" s="52">
        <f t="shared" si="65"/>
        <v>12400</v>
      </c>
      <c r="L40" s="52">
        <f t="shared" ref="L40" si="66">MAX(0,L$35-L20)-L36-L37-L38-L39</f>
        <v>12400</v>
      </c>
      <c r="N40" s="50" t="str">
        <f t="shared" si="2"/>
        <v>Taxable: ord income 10% bracket      -        -        -     12,400   12,400   12,400   12,400   12,400   12,400   12,400   12,400</v>
      </c>
      <c r="W40" s="125" t="str">
        <f t="shared" si="4"/>
        <v>###,##0;;-_0_0</v>
      </c>
    </row>
    <row r="41" spans="1:23" x14ac:dyDescent="0.3">
      <c r="A41" t="str">
        <f>"Taxable: LTCG &amp; QDI "&amp;IF(N$3,RIGHT(" "&amp;TEXT(B$19,"#0%"),3)&amp;" bracket","bracket 2")</f>
        <v>Taxable: LTCG &amp; QDI 15% bracket</v>
      </c>
      <c r="B41" s="54">
        <f>MAX(0,MIN(B$34,B33-B26))</f>
        <v>0</v>
      </c>
      <c r="C41" s="54">
        <f>MAX(0,MIN(C$34,C33-C26))</f>
        <v>0</v>
      </c>
      <c r="D41" s="54">
        <f>MAX(0,MIN(D$34,D33-D26))</f>
        <v>0</v>
      </c>
      <c r="E41" s="54">
        <f t="shared" ref="E41:H41" si="67">MAX(0,MIN(E$34,E33-E26))</f>
        <v>0</v>
      </c>
      <c r="F41" s="54">
        <f t="shared" si="67"/>
        <v>0</v>
      </c>
      <c r="G41" s="54">
        <f t="shared" si="67"/>
        <v>0</v>
      </c>
      <c r="H41" s="54">
        <f t="shared" si="67"/>
        <v>0</v>
      </c>
      <c r="I41" s="54">
        <f t="shared" ref="I41:K41" si="68">MAX(0,MIN(I$34,I33-I26))</f>
        <v>0</v>
      </c>
      <c r="J41" s="54">
        <f t="shared" si="68"/>
        <v>0</v>
      </c>
      <c r="K41" s="54">
        <f t="shared" si="68"/>
        <v>0</v>
      </c>
      <c r="L41" s="54">
        <f t="shared" ref="L41" si="69">MAX(0,MIN(L$34,L33-L26))</f>
        <v>0</v>
      </c>
      <c r="N41" s="50" t="str">
        <f t="shared" si="2"/>
        <v xml:space="preserve">Taxable: LTCG &amp; QDI 15% bracket      -        -        -        -        -        -        -        -        -        -        -  </v>
      </c>
      <c r="W41" s="125" t="str">
        <f t="shared" si="4"/>
        <v>###,##0;;-_0_0</v>
      </c>
    </row>
    <row r="42" spans="1:23" x14ac:dyDescent="0.3">
      <c r="A42" s="51" t="str">
        <f>"Taxable: LTCG &amp; QDI "&amp;IF(N$3,RIGHT(" "&amp;TEXT(B$18,"#0%"),3)&amp;" bracket","bracket 1")</f>
        <v>Taxable: LTCG &amp; QDI  0% bracket</v>
      </c>
      <c r="B42" s="53">
        <f>MAX(0,MIN(B$34,B33-B25))-B41</f>
        <v>0</v>
      </c>
      <c r="C42" s="53">
        <f>MAX(0,MIN(C$34,C33-C25))-C41</f>
        <v>0</v>
      </c>
      <c r="D42" s="53">
        <f>MAX(0,MIN(D$34,D33-D25))-D41</f>
        <v>0</v>
      </c>
      <c r="E42" s="53">
        <f t="shared" ref="E42:H42" si="70">MAX(0,MIN(E$34,E33-E25))-E41</f>
        <v>0</v>
      </c>
      <c r="F42" s="53">
        <f t="shared" si="70"/>
        <v>0</v>
      </c>
      <c r="G42" s="53">
        <f t="shared" si="70"/>
        <v>0</v>
      </c>
      <c r="H42" s="53">
        <f t="shared" si="70"/>
        <v>0</v>
      </c>
      <c r="I42" s="53">
        <f t="shared" ref="I42:K42" si="71">MAX(0,MIN(I$34,I33-I25))-I41</f>
        <v>0</v>
      </c>
      <c r="J42" s="53">
        <f t="shared" si="71"/>
        <v>0</v>
      </c>
      <c r="K42" s="53">
        <f t="shared" si="71"/>
        <v>0</v>
      </c>
      <c r="L42" s="53">
        <f t="shared" ref="L42" si="72">MAX(0,MIN(L$34,L33-L25))-L41</f>
        <v>0</v>
      </c>
      <c r="M42" s="51"/>
      <c r="N42" s="50" t="str">
        <f t="shared" si="2"/>
        <v xml:space="preserve">Taxable: LTCG &amp; QDI  0% bracket      -        -        -        -        -        -        -        -        -        -        -  </v>
      </c>
      <c r="W42" s="125" t="str">
        <f t="shared" si="4"/>
        <v>###,##0;;-_0_0</v>
      </c>
    </row>
    <row r="43" spans="1:23" x14ac:dyDescent="0.3">
      <c r="A43" t="str">
        <f>"Tax: ord income "&amp;IF(N$3,TEXT(B$17,"#0%")&amp;" bracket","bracket 5")</f>
        <v>Tax: ord income 32% bracket</v>
      </c>
      <c r="B43" s="52">
        <f>B36*B17</f>
        <v>0</v>
      </c>
      <c r="C43" s="52">
        <f t="shared" ref="C43:H43" si="73">C36*C17</f>
        <v>0</v>
      </c>
      <c r="D43" s="52">
        <f t="shared" si="73"/>
        <v>0</v>
      </c>
      <c r="E43" s="52">
        <f t="shared" si="73"/>
        <v>0</v>
      </c>
      <c r="F43" s="52">
        <f t="shared" si="73"/>
        <v>0</v>
      </c>
      <c r="G43" s="52">
        <f t="shared" si="73"/>
        <v>0</v>
      </c>
      <c r="H43" s="52">
        <f t="shared" si="73"/>
        <v>0</v>
      </c>
      <c r="I43" s="52">
        <f t="shared" ref="I43:K43" si="74">I36*I17</f>
        <v>0</v>
      </c>
      <c r="J43" s="52">
        <f t="shared" si="74"/>
        <v>0</v>
      </c>
      <c r="K43" s="52">
        <f t="shared" si="74"/>
        <v>0</v>
      </c>
      <c r="L43" s="52">
        <f t="shared" ref="L43" si="75">L36*L17</f>
        <v>320</v>
      </c>
      <c r="N43" s="50" t="str">
        <f t="shared" si="2"/>
        <v>Tax: ord income 32% bracket          -        -        -        -        -        -        -        -        -        -        320</v>
      </c>
      <c r="W43" s="125" t="str">
        <f t="shared" si="4"/>
        <v>###,##0;;-_0_0</v>
      </c>
    </row>
    <row r="44" spans="1:23" x14ac:dyDescent="0.3">
      <c r="A44" t="str">
        <f>"Tax: ord income "&amp;IF(N$3,TEXT(B$16,"#0%")&amp;" bracket","bracket 4")</f>
        <v>Tax: ord income 24% bracket</v>
      </c>
      <c r="B44" s="52">
        <f>B37*B16</f>
        <v>0</v>
      </c>
      <c r="C44" s="52">
        <f t="shared" ref="C44:H44" si="76">C37*C16</f>
        <v>0</v>
      </c>
      <c r="D44" s="52">
        <f t="shared" si="76"/>
        <v>0</v>
      </c>
      <c r="E44" s="52">
        <f t="shared" si="76"/>
        <v>0</v>
      </c>
      <c r="F44" s="52">
        <f t="shared" si="76"/>
        <v>0</v>
      </c>
      <c r="G44" s="52">
        <f t="shared" si="76"/>
        <v>0</v>
      </c>
      <c r="H44" s="52">
        <f t="shared" si="76"/>
        <v>0</v>
      </c>
      <c r="I44" s="52">
        <f t="shared" ref="I44:K44" si="77">I37*I16</f>
        <v>0</v>
      </c>
      <c r="J44" s="52">
        <f t="shared" si="77"/>
        <v>12276</v>
      </c>
      <c r="K44" s="52">
        <f t="shared" si="77"/>
        <v>23058</v>
      </c>
      <c r="L44" s="52">
        <f t="shared" ref="L44" si="78">L37*L16</f>
        <v>23058</v>
      </c>
      <c r="N44" s="50" t="str">
        <f t="shared" si="2"/>
        <v>Tax: ord income 24% bracket          -        -        -        -        -        -        -        -     12,276   23,058   23,058</v>
      </c>
      <c r="W44" s="125" t="str">
        <f t="shared" si="4"/>
        <v>###,##0;;-_0_0</v>
      </c>
    </row>
    <row r="45" spans="1:23" x14ac:dyDescent="0.3">
      <c r="A45" t="str">
        <f>"Tax: ord income "&amp;IF(N$3,TEXT(B$15,"#0%")&amp;" bracket","bracket 3")</f>
        <v>Tax: ord income 22% bracket</v>
      </c>
      <c r="B45" s="52">
        <f>B38*B15</f>
        <v>0</v>
      </c>
      <c r="C45" s="52">
        <f t="shared" ref="C45:H45" si="79">C38*C15</f>
        <v>0</v>
      </c>
      <c r="D45" s="52">
        <f t="shared" si="79"/>
        <v>0</v>
      </c>
      <c r="E45" s="52">
        <f t="shared" si="79"/>
        <v>0</v>
      </c>
      <c r="F45" s="52">
        <f t="shared" si="79"/>
        <v>0</v>
      </c>
      <c r="G45" s="52">
        <f t="shared" si="79"/>
        <v>99</v>
      </c>
      <c r="H45" s="52">
        <f t="shared" si="79"/>
        <v>636.73176470588146</v>
      </c>
      <c r="I45" s="52">
        <f t="shared" ref="I45:K45" si="80">I38*I15</f>
        <v>12166</v>
      </c>
      <c r="J45" s="52">
        <f t="shared" si="80"/>
        <v>12166</v>
      </c>
      <c r="K45" s="52">
        <f t="shared" si="80"/>
        <v>12166</v>
      </c>
      <c r="L45" s="52">
        <f t="shared" ref="L45" si="81">L38*L15</f>
        <v>12166</v>
      </c>
      <c r="N45" s="50" t="str">
        <f t="shared" si="2"/>
        <v>Tax: ord income 22% bracket          -        -        -        -        -         99      637   12,166   12,166   12,166   12,166</v>
      </c>
      <c r="W45" s="125" t="str">
        <f t="shared" si="4"/>
        <v>###,##0;;-_0_0</v>
      </c>
    </row>
    <row r="46" spans="1:23" x14ac:dyDescent="0.3">
      <c r="A46" t="str">
        <f>"Tax: ord income "&amp;IF(N$3,TEXT(B$14,"#0%")&amp;" bracket","bracket 2")</f>
        <v>Tax: ord income 12% bracket</v>
      </c>
      <c r="B46" s="52">
        <f>B39*B14</f>
        <v>0</v>
      </c>
      <c r="C46" s="52">
        <f t="shared" ref="C46:H46" si="82">C39*C14</f>
        <v>0</v>
      </c>
      <c r="D46" s="52">
        <f t="shared" si="82"/>
        <v>0</v>
      </c>
      <c r="E46" s="52">
        <f t="shared" si="82"/>
        <v>0</v>
      </c>
      <c r="F46" s="52">
        <f t="shared" si="82"/>
        <v>4560</v>
      </c>
      <c r="G46" s="52">
        <f t="shared" si="82"/>
        <v>4560</v>
      </c>
      <c r="H46" s="52">
        <f t="shared" si="82"/>
        <v>4560</v>
      </c>
      <c r="I46" s="52">
        <f t="shared" ref="I46:K46" si="83">I39*I14</f>
        <v>4560</v>
      </c>
      <c r="J46" s="52">
        <f t="shared" si="83"/>
        <v>4560</v>
      </c>
      <c r="K46" s="52">
        <f t="shared" si="83"/>
        <v>4560</v>
      </c>
      <c r="L46" s="52">
        <f t="shared" ref="L46" si="84">L39*L14</f>
        <v>4560</v>
      </c>
      <c r="N46" s="50" t="str">
        <f t="shared" si="2"/>
        <v>Tax: ord income 12% bracket          -        -        -        -      4,560    4,560    4,560    4,560    4,560    4,560    4,560</v>
      </c>
      <c r="W46" s="125" t="str">
        <f t="shared" si="4"/>
        <v>###,##0;;-_0_0</v>
      </c>
    </row>
    <row r="47" spans="1:23" x14ac:dyDescent="0.3">
      <c r="A47" t="str">
        <f>"Tax: ord income "&amp;IF(N$3,TEXT(B$13,"#0%")&amp;" bracket","bracket 1")</f>
        <v>Tax: ord income 10% bracket</v>
      </c>
      <c r="B47" s="52">
        <f>B40*B13</f>
        <v>0</v>
      </c>
      <c r="C47" s="52">
        <f t="shared" ref="C47:H47" si="85">C40*C13</f>
        <v>0</v>
      </c>
      <c r="D47" s="52">
        <f t="shared" si="85"/>
        <v>0</v>
      </c>
      <c r="E47" s="52">
        <f t="shared" si="85"/>
        <v>1240</v>
      </c>
      <c r="F47" s="52">
        <f t="shared" si="85"/>
        <v>1240</v>
      </c>
      <c r="G47" s="52">
        <f t="shared" si="85"/>
        <v>1240</v>
      </c>
      <c r="H47" s="52">
        <f t="shared" si="85"/>
        <v>1240</v>
      </c>
      <c r="I47" s="52">
        <f t="shared" ref="I47:K47" si="86">I40*I13</f>
        <v>1240</v>
      </c>
      <c r="J47" s="52">
        <f t="shared" si="86"/>
        <v>1240</v>
      </c>
      <c r="K47" s="52">
        <f t="shared" si="86"/>
        <v>1240</v>
      </c>
      <c r="L47" s="52">
        <f t="shared" ref="L47" si="87">L40*L13</f>
        <v>1240</v>
      </c>
      <c r="N47" s="50" t="str">
        <f t="shared" si="2"/>
        <v>Tax: ord income 10% bracket          -        -        -      1,240    1,240    1,240    1,240    1,240    1,240    1,240    1,240</v>
      </c>
      <c r="W47" s="125" t="str">
        <f t="shared" si="4"/>
        <v>###,##0;;-_0_0</v>
      </c>
    </row>
    <row r="48" spans="1:23" x14ac:dyDescent="0.3">
      <c r="A48" s="51" t="str">
        <f>"Tax: LTCG &amp; QDI "&amp;IF(N$3,RIGHT(" "&amp;TEXT(B$19,"#0%"),3)&amp;" bracket","bracket 2")</f>
        <v>Tax: LTCG &amp; QDI 15% bracket</v>
      </c>
      <c r="B48" s="52">
        <f>B41*B19</f>
        <v>0</v>
      </c>
      <c r="C48" s="52">
        <f t="shared" ref="C48:G48" si="88">C41*C19</f>
        <v>0</v>
      </c>
      <c r="D48" s="52">
        <f t="shared" si="88"/>
        <v>0</v>
      </c>
      <c r="E48" s="52">
        <f t="shared" si="88"/>
        <v>0</v>
      </c>
      <c r="F48" s="52">
        <f t="shared" si="88"/>
        <v>0</v>
      </c>
      <c r="G48" s="52">
        <f t="shared" si="88"/>
        <v>0</v>
      </c>
      <c r="H48" s="52">
        <f>H41*H19</f>
        <v>0</v>
      </c>
      <c r="I48" s="52">
        <f t="shared" ref="I48:K48" si="89">I41*I19</f>
        <v>0</v>
      </c>
      <c r="J48" s="52">
        <f t="shared" si="89"/>
        <v>0</v>
      </c>
      <c r="K48" s="52">
        <f t="shared" si="89"/>
        <v>0</v>
      </c>
      <c r="L48" s="52">
        <f t="shared" ref="L48" si="90">L41*L19</f>
        <v>0</v>
      </c>
      <c r="M48" s="51"/>
      <c r="N48" s="50" t="str">
        <f t="shared" si="2"/>
        <v xml:space="preserve">Tax: LTCG &amp; QDI 15% bracket          -        -        -        -        -        -        -        -        -        -        -  </v>
      </c>
      <c r="W48" s="125" t="str">
        <f t="shared" si="4"/>
        <v>###,##0;;-_0_0</v>
      </c>
    </row>
    <row r="49" spans="1:24" ht="14" thickBot="1" x14ac:dyDescent="0.35">
      <c r="A49" s="55" t="s">
        <v>93</v>
      </c>
      <c r="B49" s="56">
        <f>SUM(B43:B48)</f>
        <v>0</v>
      </c>
      <c r="C49" s="56">
        <f>SUM(C43:C48)</f>
        <v>0</v>
      </c>
      <c r="D49" s="56">
        <f t="shared" ref="D49:H49" si="91">SUM(D43:D48)</f>
        <v>0</v>
      </c>
      <c r="E49" s="56">
        <f t="shared" si="91"/>
        <v>1240</v>
      </c>
      <c r="F49" s="56">
        <f t="shared" si="91"/>
        <v>5800</v>
      </c>
      <c r="G49" s="56">
        <f t="shared" si="91"/>
        <v>5899</v>
      </c>
      <c r="H49" s="56">
        <f t="shared" si="91"/>
        <v>6436.7317647058817</v>
      </c>
      <c r="I49" s="56">
        <f t="shared" ref="I49:K49" si="92">SUM(I43:I48)</f>
        <v>17966</v>
      </c>
      <c r="J49" s="56">
        <f t="shared" si="92"/>
        <v>30242</v>
      </c>
      <c r="K49" s="56">
        <f t="shared" si="92"/>
        <v>41024</v>
      </c>
      <c r="L49" s="56">
        <f t="shared" ref="L49" si="93">SUM(L43:L48)</f>
        <v>41344</v>
      </c>
      <c r="M49" s="55"/>
      <c r="N49" s="126" t="str">
        <f t="shared" si="2"/>
        <v>Total tax                            -        -        -      1,240    5,800    5,899    6,437   17,966   30,242   41,024   41,344</v>
      </c>
      <c r="O49" s="127"/>
      <c r="P49" s="127"/>
      <c r="Q49" s="127"/>
      <c r="R49" s="127"/>
      <c r="S49" s="127"/>
      <c r="T49" s="127"/>
      <c r="U49" s="127"/>
      <c r="V49" s="127"/>
      <c r="W49" s="125" t="str">
        <f t="shared" si="4"/>
        <v>###,##0;;-_0_0</v>
      </c>
    </row>
    <row r="50" spans="1:24" x14ac:dyDescent="0.3">
      <c r="A50" t="s">
        <v>83</v>
      </c>
      <c r="B50" s="4">
        <f t="shared" ref="B50:G50" si="94">C4+C5+C6+C7-B4-B5-B6-B7</f>
        <v>9000</v>
      </c>
      <c r="C50" s="4">
        <f t="shared" si="94"/>
        <v>1972.9729729729734</v>
      </c>
      <c r="D50" s="4">
        <f t="shared" si="94"/>
        <v>6702.7027027026998</v>
      </c>
      <c r="E50" s="4">
        <f t="shared" si="94"/>
        <v>20540.54054054054</v>
      </c>
      <c r="F50" s="4">
        <f t="shared" si="94"/>
        <v>243.24324324325426</v>
      </c>
      <c r="G50" s="4">
        <f t="shared" si="94"/>
        <v>1246.4228934817147</v>
      </c>
      <c r="H50" s="4">
        <f t="shared" ref="H50" si="95">I4+I5+I6+I7-H4-H5-H6-H7</f>
        <v>49439.400665926747</v>
      </c>
      <c r="I50" s="4">
        <f t="shared" ref="I50" si="96">J4+J5+J6+J7-I4-I5-I6-I7</f>
        <v>48254.716981132078</v>
      </c>
      <c r="J50" s="4">
        <f t="shared" ref="J50:K50" si="97">K4+K5+K6+K7-J4-J5-J6-J7</f>
        <v>44925</v>
      </c>
      <c r="K50" s="4">
        <f t="shared" si="97"/>
        <v>1000</v>
      </c>
      <c r="L50" s="4"/>
      <c r="N50" s="50" t="str">
        <f>LEFT(A50&amp;W$3,31)&amp;IF(N$1&lt;2,"",RIGHT(W$3&amp;TEXT(B50,W50),N$2))&amp;IF(N$1&lt;3,"",RIGHT(W$3&amp;TEXT(C50,W50),N$2))&amp;IF(N$1&lt;4,"",RIGHT(W$3&amp;TEXT(D50,W50),N$2))&amp;IF(N$1&lt;5,"",RIGHT(W$3&amp;TEXT(E50,W50),N$2))&amp;IF(N$1&lt;6,"",RIGHT(W$3&amp;TEXT(F50,W50),N$2))&amp;IF(N$1&lt;7,"",RIGHT(W$3&amp;TEXT(G50,W50),N$2))&amp;IF(N$1&lt;8,"",RIGHT(W$3&amp;TEXT(H50,W50),N$2))&amp;IF(N$1&lt;9,"",RIGHT(W$3&amp;TEXT(I50,W50),N$2))&amp;IF(N$1&lt;10,"",RIGHT(W$3&amp;TEXT(J50,W50),N$2))&amp;IF(N$1&lt;11,"",RIGHT(W$3&amp;TEXT(K50,W50),N$2))</f>
        <v>Increased income &amp; SS benefit      9,000    1,973    6,703   20,541      243    1,246   49,439   48,255   44,925    1,000</v>
      </c>
      <c r="W50" s="125" t="str">
        <f t="shared" si="4"/>
        <v>###,##0;;-_0_0</v>
      </c>
      <c r="X50" t="s">
        <v>293</v>
      </c>
    </row>
    <row r="51" spans="1:24" x14ac:dyDescent="0.3">
      <c r="A51" t="s">
        <v>107</v>
      </c>
      <c r="B51" s="4">
        <f>C30-B30</f>
        <v>4500</v>
      </c>
      <c r="C51" s="4">
        <f t="shared" ref="C51:G51" si="98">D30-C30</f>
        <v>1677.0270270270275</v>
      </c>
      <c r="D51" s="4">
        <f t="shared" si="98"/>
        <v>5697.2972972972957</v>
      </c>
      <c r="E51" s="4">
        <f t="shared" si="98"/>
        <v>17459.459459459456</v>
      </c>
      <c r="F51" s="4">
        <f t="shared" si="98"/>
        <v>206.7567567567603</v>
      </c>
      <c r="G51" s="4">
        <f t="shared" si="98"/>
        <v>1059.4594594594564</v>
      </c>
      <c r="H51" s="4">
        <f t="shared" ref="H51" si="99">I30-H30</f>
        <v>0</v>
      </c>
      <c r="I51" s="4">
        <f t="shared" ref="I51" si="100">J30-I30</f>
        <v>0</v>
      </c>
      <c r="J51" s="4">
        <f t="shared" ref="J51:K51" si="101">K30-J30</f>
        <v>0</v>
      </c>
      <c r="K51" s="4">
        <f t="shared" si="101"/>
        <v>0</v>
      </c>
      <c r="L51" s="4"/>
      <c r="N51" s="50" t="str">
        <f>LEFT(A51&amp;W$3,31)&amp;IF(N$1&lt;2,"",RIGHT(W$3&amp;TEXT(B51,W51),N$2))&amp;IF(N$1&lt;3,"",RIGHT(W$3&amp;TEXT(C51,W51),N$2))&amp;IF(N$1&lt;4,"",RIGHT(W$3&amp;TEXT(D51,W51),N$2))&amp;IF(N$1&lt;5,"",RIGHT(W$3&amp;TEXT(E51,W51),N$2))&amp;IF(N$1&lt;6,"",RIGHT(W$3&amp;TEXT(F51,W51),N$2))&amp;IF(N$1&lt;7,"",RIGHT(W$3&amp;TEXT(G51,W51),N$2))&amp;IF(N$1&lt;8,"",RIGHT(W$3&amp;TEXT(H51,W51),N$2))&amp;IF(N$1&lt;9,"",RIGHT(W$3&amp;TEXT(I51,W51),N$2))&amp;IF(N$1&lt;10,"",RIGHT(W$3&amp;TEXT(J51,W51),N$2))&amp;IF(N$1&lt;11,"",RIGHT(W$3&amp;TEXT(K51,W51),N$2))</f>
        <v xml:space="preserve">Increased taxable SS               4,500    1,677    5,697   17,459      207    1,059      -        -        -        -  </v>
      </c>
      <c r="W51" s="125" t="str">
        <f t="shared" si="4"/>
        <v>###,##0;;-_0_0</v>
      </c>
      <c r="X51" t="s">
        <v>294</v>
      </c>
    </row>
    <row r="52" spans="1:24" x14ac:dyDescent="0.3">
      <c r="A52" t="s">
        <v>108</v>
      </c>
      <c r="B52" s="4">
        <f>C49-B49</f>
        <v>0</v>
      </c>
      <c r="C52" s="4">
        <f t="shared" ref="C52:G52" si="102">D49-C49</f>
        <v>0</v>
      </c>
      <c r="D52" s="4">
        <f t="shared" si="102"/>
        <v>1240</v>
      </c>
      <c r="E52" s="4">
        <f t="shared" si="102"/>
        <v>4560</v>
      </c>
      <c r="F52" s="4">
        <f t="shared" si="102"/>
        <v>99</v>
      </c>
      <c r="G52" s="4">
        <f t="shared" si="102"/>
        <v>537.73176470588169</v>
      </c>
      <c r="H52" s="4">
        <f t="shared" ref="H52" si="103">I49-H49</f>
        <v>11529.268235294119</v>
      </c>
      <c r="I52" s="4">
        <f t="shared" ref="I52" si="104">J49-I49</f>
        <v>12276</v>
      </c>
      <c r="J52" s="4">
        <f t="shared" ref="J52:K52" si="105">K49-J49</f>
        <v>10782</v>
      </c>
      <c r="K52" s="4">
        <f t="shared" si="105"/>
        <v>320</v>
      </c>
      <c r="L52" s="4"/>
      <c r="N52" s="50" t="str">
        <f>LEFT(A52&amp;W$3,31)&amp;IF(N$1&lt;2,"",RIGHT(W$3&amp;TEXT(B52,W52),N$2))&amp;IF(N$1&lt;3,"",RIGHT(W$3&amp;TEXT(C52,W52),N$2))&amp;IF(N$1&lt;4,"",RIGHT(W$3&amp;TEXT(D52,W52),N$2))&amp;IF(N$1&lt;5,"",RIGHT(W$3&amp;TEXT(E52,W52),N$2))&amp;IF(N$1&lt;6,"",RIGHT(W$3&amp;TEXT(F52,W52),N$2))&amp;IF(N$1&lt;7,"",RIGHT(W$3&amp;TEXT(G52,W52),N$2))&amp;IF(N$1&lt;8,"",RIGHT(W$3&amp;TEXT(H52,W52),N$2))&amp;IF(N$1&lt;9,"",RIGHT(W$3&amp;TEXT(I52,W52),N$2))&amp;IF(N$1&lt;10,"",RIGHT(W$3&amp;TEXT(J52,W52),N$2))&amp;IF(N$1&lt;11,"",RIGHT(W$3&amp;TEXT(K52,W52),N$2))</f>
        <v>Increased tax                        -        -      1,240    4,560       99      538   11,529   12,276   10,782      320</v>
      </c>
      <c r="W52" s="125" t="str">
        <f t="shared" si="4"/>
        <v>###,##0;;-_0_0</v>
      </c>
      <c r="X52" t="s">
        <v>294</v>
      </c>
    </row>
    <row r="53" spans="1:24" x14ac:dyDescent="0.3">
      <c r="A53" t="s">
        <v>84</v>
      </c>
      <c r="B53" s="57">
        <f>B51/B50</f>
        <v>0.5</v>
      </c>
      <c r="C53" s="57">
        <f t="shared" ref="C53:G53" si="106">C51/C50</f>
        <v>0.85000000000000009</v>
      </c>
      <c r="D53" s="57">
        <f t="shared" si="106"/>
        <v>0.85000000000000009</v>
      </c>
      <c r="E53" s="57">
        <f t="shared" si="106"/>
        <v>0.84999999999999987</v>
      </c>
      <c r="F53" s="57">
        <f t="shared" si="106"/>
        <v>0.84999999999997611</v>
      </c>
      <c r="G53" s="57">
        <f t="shared" si="106"/>
        <v>0.84999999999999909</v>
      </c>
      <c r="H53" s="57">
        <f t="shared" ref="H53:J53" si="107">H51/H50</f>
        <v>0</v>
      </c>
      <c r="I53" s="57">
        <f t="shared" si="107"/>
        <v>0</v>
      </c>
      <c r="J53" s="57">
        <f t="shared" si="107"/>
        <v>0</v>
      </c>
      <c r="K53" s="57">
        <f t="shared" ref="K53" si="108">K51/K50</f>
        <v>0</v>
      </c>
      <c r="L53" s="57"/>
      <c r="N53" s="50" t="str">
        <f>LEFT(A53&amp;W$3,31)&amp;IF(N$1&lt;2,"",RIGHT(W$3&amp;TEXT(B53,W53),N$2))&amp;IF(N$1&lt;3,"",RIGHT(W$3&amp;TEXT(C53,W53),N$2))&amp;IF(N$1&lt;4,"",RIGHT(W$3&amp;TEXT(D53,W53),N$2))&amp;IF(N$1&lt;5,"",RIGHT(W$3&amp;TEXT(E53,W53),N$2))&amp;IF(N$1&lt;6,"",RIGHT(W$3&amp;TEXT(F53,W53),N$2))&amp;IF(N$1&lt;7,"",RIGHT(W$3&amp;TEXT(G53,W53),N$2))&amp;IF(N$1&lt;8,"",RIGHT(W$3&amp;TEXT(H53,W53),N$2))&amp;IF(N$1&lt;9,"",RIGHT(W$3&amp;TEXT(I53,W53),N$2))&amp;IF(N$1&lt;10,"",RIGHT(W$3&amp;TEXT(J53,W53),N$2))&amp;IF(N$1&lt;11,"",RIGHT(W$3&amp;TEXT(K53,W53),N$2))</f>
        <v>Marginal SS taxable              50.000%  85.000%  85.000%  85.000%  85.000%  85.000%   0.000%   0.000%   0.000%   0.000%</v>
      </c>
      <c r="W53" s="125" t="s">
        <v>292</v>
      </c>
      <c r="X53" t="s">
        <v>294</v>
      </c>
    </row>
    <row r="54" spans="1:24" x14ac:dyDescent="0.3">
      <c r="A54" t="s">
        <v>88</v>
      </c>
      <c r="B54" s="122">
        <f>B52/B50</f>
        <v>0</v>
      </c>
      <c r="C54" s="122">
        <f t="shared" ref="C54:G54" si="109">C52/C50</f>
        <v>0</v>
      </c>
      <c r="D54" s="122">
        <f t="shared" si="109"/>
        <v>0.18500000000000008</v>
      </c>
      <c r="E54" s="122">
        <f t="shared" si="109"/>
        <v>0.222</v>
      </c>
      <c r="F54" s="122">
        <f t="shared" si="109"/>
        <v>0.4069999999999816</v>
      </c>
      <c r="G54" s="122">
        <f t="shared" si="109"/>
        <v>0.43142000000000025</v>
      </c>
      <c r="H54" s="122">
        <f t="shared" ref="H54:J54" si="110">H52/H50</f>
        <v>0.23320000000000005</v>
      </c>
      <c r="I54" s="122">
        <f t="shared" si="110"/>
        <v>0.25439999999999996</v>
      </c>
      <c r="J54" s="122">
        <f t="shared" si="110"/>
        <v>0.24</v>
      </c>
      <c r="K54" s="122">
        <f t="shared" ref="K54" si="111">K52/K50</f>
        <v>0.32</v>
      </c>
      <c r="L54" s="57"/>
      <c r="N54" s="50" t="str">
        <f>LEFT(A54&amp;W$3,31)&amp;IF(N$1&lt;2,"",RIGHT(W$3&amp;TEXT(B54,W54),N$2))&amp;IF(N$1&lt;3,"",RIGHT(W$3&amp;TEXT(C54,W54),N$2))&amp;IF(N$1&lt;4,"",RIGHT(W$3&amp;TEXT(D54,W54),N$2))&amp;IF(N$1&lt;5,"",RIGHT(W$3&amp;TEXT(E54,W54),N$2))&amp;IF(N$1&lt;6,"",RIGHT(W$3&amp;TEXT(F54,W54),N$2))&amp;IF(N$1&lt;7,"",RIGHT(W$3&amp;TEXT(G54,W54),N$2))&amp;IF(N$1&lt;8,"",RIGHT(W$3&amp;TEXT(H54,W54),N$2))&amp;IF(N$1&lt;9,"",RIGHT(W$3&amp;TEXT(I54,W54),N$2))&amp;IF(N$1&lt;10,"",RIGHT(W$3&amp;TEXT(J54,W54),N$2))&amp;IF(N$1&lt;11,"",RIGHT(W$3&amp;TEXT(K54,W54),N$2))</f>
        <v>Marginal tax rate                 0.000%   0.000%  18.500%  22.200%  40.700%  43.142%  23.320%  25.440%  24.000%  32.000%</v>
      </c>
      <c r="W54" s="125" t="str">
        <f t="shared" si="4"/>
        <v>##0.000%</v>
      </c>
      <c r="X54" t="s">
        <v>295</v>
      </c>
    </row>
    <row r="57" spans="1:24" x14ac:dyDescent="0.3">
      <c r="C57" s="52"/>
      <c r="D57" s="52"/>
      <c r="E57" s="52"/>
      <c r="F57" s="52"/>
      <c r="G57" s="52"/>
      <c r="H57" s="52"/>
      <c r="I57" s="52"/>
      <c r="J57" s="52"/>
      <c r="K57" s="52"/>
      <c r="L57" s="52"/>
    </row>
  </sheetData>
  <sheetProtection sheet="1" formatCells="0" formatColumns="0" formatRows="0"/>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CC0E-E221-4286-B22A-C7F4F208CAAA}">
  <dimension ref="A1:O130"/>
  <sheetViews>
    <sheetView workbookViewId="0">
      <selection activeCell="C2" sqref="C2"/>
    </sheetView>
  </sheetViews>
  <sheetFormatPr defaultColWidth="10.765625" defaultRowHeight="13.5" x14ac:dyDescent="0.3"/>
  <cols>
    <col min="1" max="1" width="3.23046875" style="20" customWidth="1"/>
    <col min="2" max="2" width="28.84375" customWidth="1"/>
    <col min="3" max="3" width="10.765625" style="52"/>
    <col min="4" max="4" width="9.4609375" customWidth="1"/>
    <col min="5" max="5" width="8.3828125" customWidth="1"/>
    <col min="6" max="6" width="10.765625" bestFit="1" customWidth="1"/>
    <col min="7" max="7" width="9.69140625" customWidth="1"/>
    <col min="8" max="8" width="10" customWidth="1"/>
    <col min="9" max="9" width="8.84375" customWidth="1"/>
    <col min="10" max="10" width="9.61328125" customWidth="1"/>
    <col min="11" max="11" width="9.84375" customWidth="1"/>
  </cols>
  <sheetData>
    <row r="1" spans="1:5" x14ac:dyDescent="0.3">
      <c r="A1" s="20" t="s">
        <v>202</v>
      </c>
    </row>
    <row r="2" spans="1:5" x14ac:dyDescent="0.3">
      <c r="B2" t="s">
        <v>72</v>
      </c>
      <c r="C2" s="48">
        <v>2026</v>
      </c>
    </row>
    <row r="3" spans="1:5" x14ac:dyDescent="0.3">
      <c r="B3" t="s">
        <v>256</v>
      </c>
      <c r="C3" s="48">
        <v>1</v>
      </c>
    </row>
    <row r="4" spans="1:5" x14ac:dyDescent="0.3">
      <c r="B4" t="s">
        <v>73</v>
      </c>
      <c r="C4" s="48">
        <v>1</v>
      </c>
      <c r="D4" s="2" t="str">
        <f>IF(OR(NOT(ISNUMBER(C4)),C4&lt;0,C4&gt;C3),"Enter 0 or 1 for Single; 0, 1, or 2 for Joint","")</f>
        <v/>
      </c>
    </row>
    <row r="5" spans="1:5" x14ac:dyDescent="0.3">
      <c r="B5" t="s">
        <v>2</v>
      </c>
      <c r="C5" s="47">
        <v>0</v>
      </c>
    </row>
    <row r="6" spans="1:5" x14ac:dyDescent="0.3">
      <c r="B6" t="s">
        <v>0</v>
      </c>
      <c r="C6" s="47">
        <v>36000</v>
      </c>
    </row>
    <row r="7" spans="1:5" x14ac:dyDescent="0.3">
      <c r="C7" s="99"/>
    </row>
    <row r="8" spans="1:5" x14ac:dyDescent="0.3">
      <c r="A8" s="20" t="s">
        <v>213</v>
      </c>
      <c r="C8" s="99"/>
    </row>
    <row r="9" spans="1:5" x14ac:dyDescent="0.3">
      <c r="B9" s="16" t="s">
        <v>81</v>
      </c>
      <c r="C9" s="52">
        <f>HLOOKUP(C3&amp;C2,combo_tbl,3,FALSE)+C4*HLOOKUP(C3&amp;C2,combo_tbl,4,FALSE)+HLOOKUP(C3&amp;C2,combo_tbl,5,FALSE)</f>
        <v>18150</v>
      </c>
      <c r="E9" s="52"/>
    </row>
    <row r="10" spans="1:5" x14ac:dyDescent="0.3">
      <c r="B10" s="16" t="s">
        <v>264</v>
      </c>
      <c r="C10" s="52">
        <f>HLOOKUP(C$3&amp;C$2,combo_tbl,18,FALSE)*C4</f>
        <v>6000</v>
      </c>
    </row>
    <row r="11" spans="1:5" x14ac:dyDescent="0.3">
      <c r="B11" s="16" t="s">
        <v>265</v>
      </c>
      <c r="C11" s="52">
        <f>HLOOKUP(C$3&amp;C$2,combo_tbl,19,FALSE)</f>
        <v>75000</v>
      </c>
    </row>
    <row r="12" spans="1:5" x14ac:dyDescent="0.3">
      <c r="B12" s="16" t="s">
        <v>266</v>
      </c>
      <c r="C12" s="52">
        <f>HLOOKUP(C$3&amp;C$2,combo_tbl,20,FALSE)</f>
        <v>175000</v>
      </c>
    </row>
    <row r="13" spans="1:5" x14ac:dyDescent="0.3">
      <c r="B13" s="16" t="s">
        <v>211</v>
      </c>
      <c r="C13" s="52">
        <f>HLOOKUP(C$3&amp;C$2,combo_tbl,6+ROW(B13)-ROW(B$13),FALSE)</f>
        <v>25000</v>
      </c>
    </row>
    <row r="14" spans="1:5" x14ac:dyDescent="0.3">
      <c r="B14" s="16" t="s">
        <v>212</v>
      </c>
      <c r="C14" s="54">
        <f>HLOOKUP(C$3&amp;C$2,combo_tbl,6+ROW(B14)-ROW(B$13),FALSE)</f>
        <v>34000</v>
      </c>
    </row>
    <row r="15" spans="1:5" x14ac:dyDescent="0.3">
      <c r="B15" s="16"/>
      <c r="C15" s="54"/>
    </row>
    <row r="16" spans="1:5" ht="13.5" customHeight="1" x14ac:dyDescent="0.3">
      <c r="A16" s="20" t="s">
        <v>214</v>
      </c>
      <c r="B16" s="16"/>
      <c r="C16" s="54"/>
    </row>
    <row r="17" spans="1:14" s="92" customFormat="1" ht="40.5" x14ac:dyDescent="0.3">
      <c r="A17" s="98"/>
      <c r="C17" s="97" t="s">
        <v>203</v>
      </c>
      <c r="D17" s="92" t="s">
        <v>204</v>
      </c>
      <c r="E17" s="97" t="s">
        <v>205</v>
      </c>
      <c r="F17" s="92" t="s">
        <v>198</v>
      </c>
      <c r="G17" s="92" t="s">
        <v>267</v>
      </c>
      <c r="H17" s="92" t="s">
        <v>268</v>
      </c>
    </row>
    <row r="18" spans="1:14" x14ac:dyDescent="0.3">
      <c r="B18" s="16" t="s">
        <v>269</v>
      </c>
      <c r="C18" s="54">
        <f>IF(C11&lt;=C$13-0.5*C$6,C11,IF(C$6&lt;=C$14-C$13,IF(C$6&lt;=2*(C$14-C11+0.5*C$6),MAX((C11-0.25*C$6+0.5*C$13)/1.5,C11-0.5*C$6),MAX((C11-0.925*C$6+0.85*C$14)/1.85,C11-0.85*C$6)),IF(C$6&lt;=2*(C$14-C11+0.5*(C$14-C$13)),MAX((C11-0.25*C$6+0.5*C$13)/1.5,C11-0.5*C$6),MAX((C11-0.425*C$6+0.5*C$13+0.35*C$14)/1.85,C11-0.85*C$6))))-C$5</f>
        <v>45459.45945945946</v>
      </c>
    </row>
    <row r="19" spans="1:14" x14ac:dyDescent="0.3">
      <c r="B19" s="16" t="s">
        <v>270</v>
      </c>
      <c r="C19" s="54">
        <f>IF(C12&lt;=C$13-0.5*C$6,C12,IF(C$6&lt;=C$14-C$13,IF(C$6&lt;=2*(C$14-C12+0.5*C$6),MAX((C12-0.25*C$6+0.5*C$13)/1.5,C12-0.5*C$6),MAX((C12-0.925*C$6+0.85*C$14)/1.85,C12-0.85*C$6)),IF(C$6&lt;=2*(C$14-C12+0.5*(C$14-C$13)),MAX((C12-0.25*C$6+0.5*C$13)/1.5,C12-0.5*C$6),MAX((C12-0.425*C$6+0.5*C$13+0.35*C$14)/1.85,C12-0.85*C$6))))-C$5</f>
        <v>144400</v>
      </c>
    </row>
    <row r="20" spans="1:14" x14ac:dyDescent="0.3">
      <c r="B20" s="16" t="s">
        <v>220</v>
      </c>
      <c r="C20" s="54">
        <f>C13-C$6/2-C$5</f>
        <v>7000</v>
      </c>
    </row>
    <row r="21" spans="1:14" x14ac:dyDescent="0.3">
      <c r="B21" s="16" t="s">
        <v>221</v>
      </c>
      <c r="C21" s="54">
        <f>C14-C$6/2-C$5</f>
        <v>16000</v>
      </c>
    </row>
    <row r="22" spans="1:14" x14ac:dyDescent="0.3">
      <c r="B22" s="16" t="s">
        <v>222</v>
      </c>
      <c r="C22" s="54">
        <f>(0.425*C6-0.5*(C14-C13)+0.85*C14)/0.85-C$5</f>
        <v>46705.882352941175</v>
      </c>
    </row>
    <row r="23" spans="1:14" x14ac:dyDescent="0.3">
      <c r="B23" s="17" t="s">
        <v>206</v>
      </c>
      <c r="C23" s="3">
        <f t="shared" ref="C23:C27" si="0">IF(F23&lt;=C$13-0.5*C$6,F23,IF(C$6&lt;=C$14-C$13,IF(C$6&lt;=2*(C$14-F23+0.5*C$6),MAX((F23-0.25*C$6+0.5*C$13)/1.5,F23-0.5*C$6),MAX((F23-0.925*C$6+0.85*C$14)/1.85,F23-0.85*C$6)),IF(C$6&lt;=2*(C$14-F23+0.5*(C$14-C$13)),MAX((F23-0.25*C$6+0.5*C$13)/1.5,F23-0.5*C$6),MAX((F23-0.425*C$6+0.5*C$13+0.35*C$14)/1.85,F23-0.85*C$6))))-C$5</f>
        <v>17972.972972972973</v>
      </c>
      <c r="D23" s="111">
        <f>HLOOKUP(C$3&amp;C$2,combo_tbl,8,FALSE)</f>
        <v>0</v>
      </c>
      <c r="E23" s="72">
        <f>HLOOKUP(C$2,rate_tbl,2,FALSE)</f>
        <v>0.1</v>
      </c>
      <c r="F23" s="4">
        <f>IF(C$10=0,D23+C$9+C$5,MAX(D23+C$9+C$5,MIN(D23+C$9+C$5+C$10,(D23+C$9+C$5+C$10*(1+C$11/(C$12-C$11)))/(1+C$10/(C$12-C$11)))))</f>
        <v>24150</v>
      </c>
      <c r="G23" s="4">
        <f>IF(C$10=0,0,C$10*(1-MAX(0,MIN(1,(F23-C$11)/(C$12-C$11)))))</f>
        <v>6000</v>
      </c>
      <c r="H23" s="4">
        <f>F23-C$9-G23</f>
        <v>0</v>
      </c>
    </row>
    <row r="24" spans="1:14" x14ac:dyDescent="0.3">
      <c r="B24" s="17" t="s">
        <v>207</v>
      </c>
      <c r="C24" s="3">
        <f t="shared" si="0"/>
        <v>24675.675675675673</v>
      </c>
      <c r="D24" s="52">
        <f>HLOOKUP(C$3&amp;C$2,combo_tbl,9,FALSE)</f>
        <v>12400</v>
      </c>
      <c r="E24" s="72">
        <f>HLOOKUP(C$2,rate_tbl,3,FALSE)</f>
        <v>0.12</v>
      </c>
      <c r="F24" s="4">
        <f t="shared" ref="F24:F27" si="1">IF(C$10=0,D24+C$9+C$5,MAX(D24+C$9+C$5,MIN(D24+C$9+C$5+C$10,(D24+C$9+C$5+C$10*(1+C$11/(C$12-C$11)))/(1+C$10/(C$12-C$11)))))</f>
        <v>36550</v>
      </c>
      <c r="G24" s="4">
        <f t="shared" ref="G24:G29" si="2">IF(C$10=0,0,C$10*(1-MAX(0,MIN(1,(F24-C$11)/(C$12-C$11)))))</f>
        <v>6000</v>
      </c>
      <c r="H24" s="4">
        <f t="shared" ref="H24:H29" si="3">F24-C$9-G24</f>
        <v>12400</v>
      </c>
    </row>
    <row r="25" spans="1:14" x14ac:dyDescent="0.3">
      <c r="B25" s="17" t="s">
        <v>208</v>
      </c>
      <c r="C25" s="3">
        <f t="shared" si="0"/>
        <v>45216.216216216213</v>
      </c>
      <c r="D25" s="52">
        <f>HLOOKUP(C$3&amp;C$2,combo_tbl,10,FALSE)</f>
        <v>50400</v>
      </c>
      <c r="E25" s="72">
        <f>HLOOKUP(C$2,rate_tbl,4,FALSE)</f>
        <v>0.22</v>
      </c>
      <c r="F25" s="4">
        <f t="shared" si="1"/>
        <v>74550</v>
      </c>
      <c r="G25" s="4">
        <f t="shared" si="2"/>
        <v>6000</v>
      </c>
      <c r="H25" s="4">
        <f t="shared" si="3"/>
        <v>50400</v>
      </c>
    </row>
    <row r="26" spans="1:14" x14ac:dyDescent="0.3">
      <c r="B26" s="17" t="s">
        <v>209</v>
      </c>
      <c r="C26" s="3">
        <f t="shared" si="0"/>
        <v>96145.283018867922</v>
      </c>
      <c r="D26" s="52">
        <f>HLOOKUP(C$3&amp;C$2,combo_tbl,11,FALSE)</f>
        <v>105700</v>
      </c>
      <c r="E26" s="72">
        <f>HLOOKUP(C$2,rate_tbl,5,FALSE)</f>
        <v>0.24</v>
      </c>
      <c r="F26" s="4">
        <f t="shared" si="1"/>
        <v>126745.28301886792</v>
      </c>
      <c r="G26" s="4">
        <f t="shared" si="2"/>
        <v>2895.2830188679245</v>
      </c>
      <c r="H26" s="4">
        <f t="shared" si="3"/>
        <v>105700</v>
      </c>
    </row>
    <row r="27" spans="1:14" x14ac:dyDescent="0.3">
      <c r="B27" s="17" t="s">
        <v>210</v>
      </c>
      <c r="C27" s="3">
        <f t="shared" si="0"/>
        <v>189325</v>
      </c>
      <c r="D27" s="52">
        <f>HLOOKUP(C$3&amp;C$2,combo_tbl,12,FALSE)</f>
        <v>201775</v>
      </c>
      <c r="E27" s="72">
        <f>HLOOKUP(C$2,rate_tbl,6,FALSE)</f>
        <v>0.32</v>
      </c>
      <c r="F27" s="4">
        <f t="shared" si="1"/>
        <v>219925</v>
      </c>
      <c r="G27" s="4">
        <f t="shared" si="2"/>
        <v>0</v>
      </c>
      <c r="H27" s="4">
        <f t="shared" si="3"/>
        <v>201775</v>
      </c>
    </row>
    <row r="28" spans="1:14" x14ac:dyDescent="0.3">
      <c r="B28" s="17" t="s">
        <v>230</v>
      </c>
      <c r="C28" s="3">
        <f>IF(F28&lt;=C$13-0.5*C$6,F28,IF(C$6&lt;=C$14-C$13,IF(C$6&lt;=2*(C$14-F28+0.5*C$6),MAX((F28-0.25*C$6+0.5*C$13)/1.5,F28-0.5*C$6),MAX((F28-0.925*C$6+0.85*C$14)/1.85,F28-0.85*C$6)),IF(C$6&lt;=2*(C$14-F28+0.5*(C$14-C$13)),MAX((F28-0.25*C$6+0.5*C$13)/1.5,F28-0.5*C$6),MAX((F28-0.425*C$6+0.5*C$13+0.35*C$14)/1.85,F28-0.85*C$6))))-C$5</f>
        <v>44702.7027027027</v>
      </c>
      <c r="D28" s="52">
        <f>HLOOKUP(C$3&amp;C$2,combo_tbl,16,FALSE)</f>
        <v>49450</v>
      </c>
      <c r="E28" s="72">
        <f>HLOOKUP(C$2,rate_tbl,10,FALSE)</f>
        <v>0.15</v>
      </c>
      <c r="F28" s="4">
        <f>IF(C$10=0,D28+C$9,MAX(D28+C$9,MIN(D28+C$9+C$10,(D28+C$9+C$10*(1+C$11/(C$12-C$11)))/(1+C$10/(C$12-C$11)))))</f>
        <v>73600</v>
      </c>
      <c r="G28" s="4">
        <f t="shared" si="2"/>
        <v>6000</v>
      </c>
      <c r="H28" s="4">
        <f t="shared" si="3"/>
        <v>49450</v>
      </c>
    </row>
    <row r="29" spans="1:14" x14ac:dyDescent="0.3">
      <c r="B29" s="17" t="s">
        <v>231</v>
      </c>
      <c r="C29" s="3">
        <f>IF(F29&lt;=C$13-0.5*C$6,F29,IF(C$6&lt;=C$14-C$13,IF(C$6&lt;=2*(C$14-F29+0.5*C$6),MAX((F29-0.25*C$6+0.5*C$13)/1.5,F29-0.5*C$6),MAX((F29-0.925*C$6+0.85*C$14)/1.85,F29-0.85*C$6)),IF(C$6&lt;=2*(C$14-F29+0.5*(C$14-C$13)),MAX((F29-0.25*C$6+0.5*C$13)/1.5,F29-0.5*C$6),MAX((F29-0.425*C$6+0.5*C$13+0.35*C$14)/1.85,F29-0.85*C$6))))-C$5</f>
        <v>44702.7027027027</v>
      </c>
      <c r="D29" s="52">
        <f>D28+C5</f>
        <v>49450</v>
      </c>
      <c r="E29" s="72">
        <v>0</v>
      </c>
      <c r="F29" s="4">
        <f>IF(C$10=0,D29+C$9,MAX(D29+C$9,MIN(D29+C$9+C$10,(D29+C$9+C$10*(1+C$11/(C$12-C$11)))/(1+C$10/(C$12-C$11)))))</f>
        <v>73600</v>
      </c>
      <c r="G29" s="4">
        <f t="shared" si="2"/>
        <v>6000</v>
      </c>
      <c r="H29" s="4">
        <f t="shared" si="3"/>
        <v>49450</v>
      </c>
    </row>
    <row r="30" spans="1:14" x14ac:dyDescent="0.3">
      <c r="B30" s="17"/>
      <c r="C30" s="3"/>
      <c r="D30" s="52"/>
      <c r="E30" s="72"/>
      <c r="F30" s="4"/>
    </row>
    <row r="31" spans="1:14" x14ac:dyDescent="0.3">
      <c r="A31" s="20" t="s">
        <v>215</v>
      </c>
      <c r="B31" s="17"/>
      <c r="C31" s="3"/>
      <c r="E31" s="72"/>
      <c r="F31" s="52"/>
      <c r="G31" s="4"/>
    </row>
    <row r="32" spans="1:14" s="92" customFormat="1" ht="51.75" customHeight="1" x14ac:dyDescent="0.3">
      <c r="A32" s="98"/>
      <c r="B32" s="91" t="s">
        <v>271</v>
      </c>
      <c r="C32" s="92" t="s">
        <v>237</v>
      </c>
      <c r="D32" s="92" t="s">
        <v>225</v>
      </c>
      <c r="E32" s="93" t="s">
        <v>194</v>
      </c>
      <c r="F32" s="94" t="s">
        <v>195</v>
      </c>
      <c r="G32" s="95" t="s">
        <v>197</v>
      </c>
      <c r="H32" s="95" t="s">
        <v>198</v>
      </c>
      <c r="I32" s="95" t="s">
        <v>15</v>
      </c>
      <c r="J32" s="95" t="s">
        <v>233</v>
      </c>
      <c r="K32" s="95" t="s">
        <v>232</v>
      </c>
      <c r="L32" s="95" t="s">
        <v>199</v>
      </c>
      <c r="M32" s="95" t="s">
        <v>272</v>
      </c>
      <c r="N32" s="95" t="s">
        <v>196</v>
      </c>
    </row>
    <row r="33" spans="1:15" x14ac:dyDescent="0.3">
      <c r="B33" s="3">
        <f>SMALL(IF(C$10=0,IF(C$5=0,C$20:C$27,C$20:C$29),IF(C$5=0,C$18:C$27,C$18:C$29)),ROW(C18)-ROW(C$18)+1)</f>
        <v>7000</v>
      </c>
      <c r="C33" s="4">
        <f>IF(ISERROR(B34),"",B34-B33)</f>
        <v>9000</v>
      </c>
      <c r="D33" s="4">
        <f t="shared" ref="D33:D41" si="4">B33+C$5+C$6/2</f>
        <v>25000</v>
      </c>
      <c r="E33" s="52">
        <f t="shared" ref="E33:E42" si="5">MIN(50%*C$6,MAX(0,50%*MIN(D33-C$13,C$14-C$13)))</f>
        <v>0</v>
      </c>
      <c r="F33" s="52">
        <f t="shared" ref="F33:F42" si="6">MIN(85%*C$6-E33,85%*MAX(0,D33-C$14))</f>
        <v>0</v>
      </c>
      <c r="G33" s="4">
        <f>E33+F33</f>
        <v>0</v>
      </c>
      <c r="H33" s="4">
        <f t="shared" ref="H33:H42" si="7">B33+G33+C$5</f>
        <v>7000</v>
      </c>
      <c r="I33" s="3">
        <f>MAX(0,H33-C$9-IF(C$10=0,0,C$10*(1-MAX(0,MIN(1,(H33-C$11)/(C$12-C$11))))))</f>
        <v>0</v>
      </c>
      <c r="J33" s="90">
        <f t="shared" ref="J33:J42" si="8">IF(B33&lt;C$23,0,VLOOKUP(B33,C$23:E$27,3,TRUE))</f>
        <v>0</v>
      </c>
      <c r="K33" s="90">
        <f>IF(OR(B33&lt;C$28,B33&gt;=C$29),0,15%)</f>
        <v>0</v>
      </c>
      <c r="L33">
        <f t="shared" ref="L33:L44" si="9">IF(C$6=0,0,IF(B33&gt;=C$22,0,IF(B33&gt;=C$21,0.85,IF(B33&gt;=C$20,0.5,0))))</f>
        <v>0.5</v>
      </c>
      <c r="M33" s="45" t="str">
        <f>IF(C$10=0,"",IF(AND(C$10&gt;0,C$11&lt;=H33,H33&lt;C$12,1+C$10/(C$12-C$11)),"yes",""))</f>
        <v/>
      </c>
      <c r="N33" s="121">
        <f>(J33*(1+L33)+K33*(1+L33))*IF(M33="",1,1+C$10/(C$12-C$11))</f>
        <v>0</v>
      </c>
    </row>
    <row r="34" spans="1:15" x14ac:dyDescent="0.3">
      <c r="B34" s="3">
        <f t="shared" ref="B34:B44" si="10">SMALL(IF(C$10=0,IF(C$5=0,C$20:C$27,C$20:C$29),IF(C$5=0,C$18:C$27,C$18:C$29)),ROW(C19)-ROW(C$18)+1)</f>
        <v>16000</v>
      </c>
      <c r="C34" s="4">
        <f t="shared" ref="C34:C43" si="11">IF(ISERROR(B35),"",B35-B34)</f>
        <v>1972.9729729729734</v>
      </c>
      <c r="D34" s="4">
        <f t="shared" si="4"/>
        <v>34000</v>
      </c>
      <c r="E34" s="52">
        <f t="shared" si="5"/>
        <v>4500</v>
      </c>
      <c r="F34" s="52">
        <f t="shared" si="6"/>
        <v>0</v>
      </c>
      <c r="G34" s="4">
        <f t="shared" ref="G34:G40" si="12">E34+F34</f>
        <v>4500</v>
      </c>
      <c r="H34" s="4">
        <f t="shared" si="7"/>
        <v>20500</v>
      </c>
      <c r="I34" s="3">
        <f t="shared" ref="I34:I44" si="13">MAX(0,H34-C$9-IF(C$10=0,0,C$10*(1-MAX(0,MIN(1,(H34-C$11)/(C$12-C$11))))))</f>
        <v>0</v>
      </c>
      <c r="J34" s="90">
        <f t="shared" si="8"/>
        <v>0</v>
      </c>
      <c r="K34" s="90">
        <f t="shared" ref="K34:K42" si="14">IF(OR(B34&lt;C$28,B34&gt;=C$29),0,15%)</f>
        <v>0</v>
      </c>
      <c r="L34">
        <f t="shared" si="9"/>
        <v>0.85</v>
      </c>
      <c r="M34" s="45" t="str">
        <f t="shared" ref="M34:M44" si="15">IF(C$10=0,"",IF(AND(C$10&gt;0,C$11&lt;=H34,H34&lt;C$12,1+C$10/(C$12-C$11)),"yes",""))</f>
        <v/>
      </c>
      <c r="N34" s="121">
        <f t="shared" ref="N34:N44" si="16">(J34*(1+L34)+K34*(1+L34))*IF(M34="",1,1+C$10/(C$12-C$11))</f>
        <v>0</v>
      </c>
    </row>
    <row r="35" spans="1:15" x14ac:dyDescent="0.3">
      <c r="B35" s="3">
        <f t="shared" si="10"/>
        <v>17972.972972972973</v>
      </c>
      <c r="C35" s="4">
        <f t="shared" si="11"/>
        <v>6702.7027027026998</v>
      </c>
      <c r="D35" s="4">
        <f t="shared" si="4"/>
        <v>35972.972972972973</v>
      </c>
      <c r="E35" s="52">
        <f t="shared" si="5"/>
        <v>4500</v>
      </c>
      <c r="F35" s="52">
        <f t="shared" si="6"/>
        <v>1677.0270270270273</v>
      </c>
      <c r="G35" s="4">
        <f t="shared" si="12"/>
        <v>6177.0270270270275</v>
      </c>
      <c r="H35" s="4">
        <f t="shared" si="7"/>
        <v>24150</v>
      </c>
      <c r="I35" s="3">
        <f t="shared" si="13"/>
        <v>0</v>
      </c>
      <c r="J35" s="90">
        <f t="shared" si="8"/>
        <v>0.1</v>
      </c>
      <c r="K35" s="90">
        <f t="shared" si="14"/>
        <v>0</v>
      </c>
      <c r="L35">
        <f t="shared" si="9"/>
        <v>0.85</v>
      </c>
      <c r="M35" s="45" t="str">
        <f t="shared" si="15"/>
        <v/>
      </c>
      <c r="N35" s="121">
        <f t="shared" si="16"/>
        <v>0.18500000000000003</v>
      </c>
    </row>
    <row r="36" spans="1:15" x14ac:dyDescent="0.3">
      <c r="B36" s="3">
        <f t="shared" si="10"/>
        <v>24675.675675675673</v>
      </c>
      <c r="C36" s="4">
        <f t="shared" si="11"/>
        <v>20540.54054054054</v>
      </c>
      <c r="D36" s="4">
        <f t="shared" si="4"/>
        <v>42675.675675675673</v>
      </c>
      <c r="E36" s="52">
        <f t="shared" si="5"/>
        <v>4500</v>
      </c>
      <c r="F36" s="52">
        <f t="shared" si="6"/>
        <v>7374.3243243243223</v>
      </c>
      <c r="G36" s="4">
        <f t="shared" si="12"/>
        <v>11874.324324324323</v>
      </c>
      <c r="H36" s="4">
        <f t="shared" si="7"/>
        <v>36550</v>
      </c>
      <c r="I36" s="3">
        <f t="shared" si="13"/>
        <v>12400</v>
      </c>
      <c r="J36" s="90">
        <f t="shared" si="8"/>
        <v>0.12</v>
      </c>
      <c r="K36" s="90">
        <f t="shared" si="14"/>
        <v>0</v>
      </c>
      <c r="L36">
        <f t="shared" si="9"/>
        <v>0.85</v>
      </c>
      <c r="M36" s="45" t="str">
        <f t="shared" si="15"/>
        <v/>
      </c>
      <c r="N36" s="121">
        <f t="shared" si="16"/>
        <v>0.222</v>
      </c>
    </row>
    <row r="37" spans="1:15" x14ac:dyDescent="0.3">
      <c r="B37" s="3">
        <f t="shared" si="10"/>
        <v>45216.216216216213</v>
      </c>
      <c r="C37" s="4">
        <f t="shared" si="11"/>
        <v>243.24324324324698</v>
      </c>
      <c r="D37" s="4">
        <f t="shared" si="4"/>
        <v>63216.216216216213</v>
      </c>
      <c r="E37" s="52">
        <f t="shared" si="5"/>
        <v>4500</v>
      </c>
      <c r="F37" s="52">
        <f t="shared" si="6"/>
        <v>24833.78378378378</v>
      </c>
      <c r="G37" s="4">
        <f t="shared" si="12"/>
        <v>29333.78378378378</v>
      </c>
      <c r="H37" s="4">
        <f t="shared" si="7"/>
        <v>74550</v>
      </c>
      <c r="I37" s="3">
        <f t="shared" si="13"/>
        <v>50400</v>
      </c>
      <c r="J37" s="90">
        <f t="shared" si="8"/>
        <v>0.22</v>
      </c>
      <c r="K37" s="90">
        <f t="shared" si="14"/>
        <v>0</v>
      </c>
      <c r="L37">
        <f t="shared" si="9"/>
        <v>0.85</v>
      </c>
      <c r="M37" s="45" t="str">
        <f t="shared" si="15"/>
        <v/>
      </c>
      <c r="N37" s="121">
        <f t="shared" si="16"/>
        <v>0.40700000000000003</v>
      </c>
    </row>
    <row r="38" spans="1:15" x14ac:dyDescent="0.3">
      <c r="B38" s="3">
        <f t="shared" si="10"/>
        <v>45459.45945945946</v>
      </c>
      <c r="C38" s="4">
        <f t="shared" si="11"/>
        <v>1246.4228934817147</v>
      </c>
      <c r="D38" s="4">
        <f t="shared" si="4"/>
        <v>63459.45945945946</v>
      </c>
      <c r="E38" s="52">
        <f t="shared" si="5"/>
        <v>4500</v>
      </c>
      <c r="F38" s="52">
        <f t="shared" si="6"/>
        <v>25040.54054054054</v>
      </c>
      <c r="G38" s="4">
        <f t="shared" si="12"/>
        <v>29540.54054054054</v>
      </c>
      <c r="H38" s="4">
        <f t="shared" si="7"/>
        <v>75000</v>
      </c>
      <c r="I38" s="3">
        <f t="shared" si="13"/>
        <v>50850</v>
      </c>
      <c r="J38" s="90">
        <f t="shared" si="8"/>
        <v>0.22</v>
      </c>
      <c r="K38" s="90">
        <f t="shared" si="14"/>
        <v>0</v>
      </c>
      <c r="L38">
        <f t="shared" si="9"/>
        <v>0.85</v>
      </c>
      <c r="M38" s="45" t="str">
        <f t="shared" si="15"/>
        <v>yes</v>
      </c>
      <c r="N38" s="121">
        <f t="shared" si="16"/>
        <v>0.43142000000000003</v>
      </c>
    </row>
    <row r="39" spans="1:15" x14ac:dyDescent="0.3">
      <c r="B39" s="3">
        <f t="shared" si="10"/>
        <v>46705.882352941175</v>
      </c>
      <c r="C39" s="4">
        <f t="shared" si="11"/>
        <v>49439.400665926747</v>
      </c>
      <c r="D39" s="4">
        <f t="shared" si="4"/>
        <v>64705.882352941175</v>
      </c>
      <c r="E39" s="52">
        <f t="shared" si="5"/>
        <v>4500</v>
      </c>
      <c r="F39" s="52">
        <f t="shared" si="6"/>
        <v>26099.999999999996</v>
      </c>
      <c r="G39" s="4">
        <f t="shared" si="12"/>
        <v>30599.999999999996</v>
      </c>
      <c r="H39" s="4">
        <f t="shared" si="7"/>
        <v>77305.882352941175</v>
      </c>
      <c r="I39" s="3">
        <f t="shared" si="13"/>
        <v>53294.235294117643</v>
      </c>
      <c r="J39" s="90">
        <f t="shared" si="8"/>
        <v>0.22</v>
      </c>
      <c r="K39" s="90">
        <f t="shared" si="14"/>
        <v>0</v>
      </c>
      <c r="L39">
        <f t="shared" si="9"/>
        <v>0</v>
      </c>
      <c r="M39" s="45" t="str">
        <f t="shared" si="15"/>
        <v>yes</v>
      </c>
      <c r="N39" s="121">
        <f t="shared" si="16"/>
        <v>0.23320000000000002</v>
      </c>
    </row>
    <row r="40" spans="1:15" x14ac:dyDescent="0.3">
      <c r="B40" s="3">
        <f t="shared" si="10"/>
        <v>96145.283018867922</v>
      </c>
      <c r="C40" s="4">
        <f t="shared" si="11"/>
        <v>48254.716981132078</v>
      </c>
      <c r="D40" s="4">
        <f t="shared" si="4"/>
        <v>114145.28301886792</v>
      </c>
      <c r="E40" s="52">
        <f t="shared" si="5"/>
        <v>4500</v>
      </c>
      <c r="F40" s="52">
        <f t="shared" si="6"/>
        <v>26100</v>
      </c>
      <c r="G40" s="4">
        <f t="shared" si="12"/>
        <v>30600</v>
      </c>
      <c r="H40" s="4">
        <f t="shared" si="7"/>
        <v>126745.28301886792</v>
      </c>
      <c r="I40" s="3">
        <f t="shared" si="13"/>
        <v>105700</v>
      </c>
      <c r="J40" s="90">
        <f t="shared" si="8"/>
        <v>0.24</v>
      </c>
      <c r="K40" s="90">
        <f t="shared" si="14"/>
        <v>0</v>
      </c>
      <c r="L40">
        <f t="shared" si="9"/>
        <v>0</v>
      </c>
      <c r="M40" s="45" t="str">
        <f t="shared" si="15"/>
        <v>yes</v>
      </c>
      <c r="N40" s="121">
        <f t="shared" si="16"/>
        <v>0.25440000000000002</v>
      </c>
    </row>
    <row r="41" spans="1:15" x14ac:dyDescent="0.3">
      <c r="B41" s="3">
        <f t="shared" si="10"/>
        <v>144400</v>
      </c>
      <c r="C41" s="4">
        <f t="shared" si="11"/>
        <v>44925</v>
      </c>
      <c r="D41" s="4">
        <f t="shared" si="4"/>
        <v>162400</v>
      </c>
      <c r="E41" s="52">
        <f t="shared" si="5"/>
        <v>4500</v>
      </c>
      <c r="F41" s="52">
        <f t="shared" si="6"/>
        <v>26100</v>
      </c>
      <c r="G41" s="4">
        <f t="shared" ref="G41:G42" si="17">E41+F41</f>
        <v>30600</v>
      </c>
      <c r="H41" s="4">
        <f t="shared" si="7"/>
        <v>175000</v>
      </c>
      <c r="I41" s="3">
        <f t="shared" si="13"/>
        <v>156850</v>
      </c>
      <c r="J41" s="90">
        <f t="shared" si="8"/>
        <v>0.24</v>
      </c>
      <c r="K41" s="90">
        <f t="shared" si="14"/>
        <v>0</v>
      </c>
      <c r="L41">
        <f t="shared" si="9"/>
        <v>0</v>
      </c>
      <c r="M41" s="45" t="str">
        <f t="shared" si="15"/>
        <v/>
      </c>
      <c r="N41" s="121">
        <f t="shared" si="16"/>
        <v>0.24</v>
      </c>
    </row>
    <row r="42" spans="1:15" x14ac:dyDescent="0.3">
      <c r="B42" s="3">
        <f t="shared" si="10"/>
        <v>189325</v>
      </c>
      <c r="C42" s="4" t="str">
        <f t="shared" si="11"/>
        <v/>
      </c>
      <c r="D42" s="4">
        <f>B42+C$5+C$6/2</f>
        <v>207325</v>
      </c>
      <c r="E42" s="52">
        <f t="shared" si="5"/>
        <v>4500</v>
      </c>
      <c r="F42" s="52">
        <f t="shared" si="6"/>
        <v>26100</v>
      </c>
      <c r="G42" s="4">
        <f t="shared" si="17"/>
        <v>30600</v>
      </c>
      <c r="H42" s="4">
        <f t="shared" si="7"/>
        <v>219925</v>
      </c>
      <c r="I42" s="3">
        <f t="shared" si="13"/>
        <v>201775</v>
      </c>
      <c r="J42" s="90">
        <f t="shared" si="8"/>
        <v>0.32</v>
      </c>
      <c r="K42" s="90">
        <f t="shared" si="14"/>
        <v>0</v>
      </c>
      <c r="L42">
        <f t="shared" si="9"/>
        <v>0</v>
      </c>
      <c r="M42" s="45" t="str">
        <f t="shared" si="15"/>
        <v/>
      </c>
      <c r="N42" s="121">
        <f t="shared" si="16"/>
        <v>0.32</v>
      </c>
    </row>
    <row r="43" spans="1:15" x14ac:dyDescent="0.3">
      <c r="B43" s="3" t="e">
        <f t="shared" si="10"/>
        <v>#NUM!</v>
      </c>
      <c r="C43" s="4" t="str">
        <f t="shared" si="11"/>
        <v/>
      </c>
      <c r="D43" s="4" t="e">
        <f t="shared" ref="D43:D44" si="18">B43+C$5+C$6/2</f>
        <v>#NUM!</v>
      </c>
      <c r="E43" s="52" t="e">
        <f t="shared" ref="E43:E44" si="19">MIN(50%*C$6,MAX(0,50%*MIN(D43-C$13,C$14-C$13)))</f>
        <v>#NUM!</v>
      </c>
      <c r="F43" s="52" t="e">
        <f t="shared" ref="F43:F44" si="20">MIN(85%*C$6-E43,85%*MAX(0,D43-C$14))</f>
        <v>#NUM!</v>
      </c>
      <c r="G43" s="4" t="e">
        <f t="shared" ref="G43:G44" si="21">E43+F43</f>
        <v>#NUM!</v>
      </c>
      <c r="H43" s="4" t="e">
        <f t="shared" ref="H43:H44" si="22">B43+G43+C$5</f>
        <v>#NUM!</v>
      </c>
      <c r="I43" s="3" t="e">
        <f t="shared" si="13"/>
        <v>#NUM!</v>
      </c>
      <c r="J43" s="90" t="e">
        <f t="shared" ref="J43:J44" si="23">IF(B43&lt;C$23,0,VLOOKUP(B43,C$23:E$27,3,TRUE))</f>
        <v>#NUM!</v>
      </c>
      <c r="K43" s="90" t="e">
        <f t="shared" ref="K43:K44" si="24">IF(OR(B43&lt;C$28,B43&gt;=C$29),0,15%)</f>
        <v>#NUM!</v>
      </c>
      <c r="L43" t="e">
        <f t="shared" si="9"/>
        <v>#NUM!</v>
      </c>
      <c r="M43" s="45" t="e">
        <f t="shared" si="15"/>
        <v>#NUM!</v>
      </c>
      <c r="N43" s="121" t="e">
        <f t="shared" si="16"/>
        <v>#NUM!</v>
      </c>
    </row>
    <row r="44" spans="1:15" x14ac:dyDescent="0.3">
      <c r="B44" s="3" t="e">
        <f t="shared" si="10"/>
        <v>#NUM!</v>
      </c>
      <c r="C44" s="4"/>
      <c r="D44" s="4" t="e">
        <f t="shared" si="18"/>
        <v>#NUM!</v>
      </c>
      <c r="E44" s="52" t="e">
        <f t="shared" si="19"/>
        <v>#NUM!</v>
      </c>
      <c r="F44" s="52" t="e">
        <f t="shared" si="20"/>
        <v>#NUM!</v>
      </c>
      <c r="G44" s="4" t="e">
        <f t="shared" si="21"/>
        <v>#NUM!</v>
      </c>
      <c r="H44" s="4" t="e">
        <f t="shared" si="22"/>
        <v>#NUM!</v>
      </c>
      <c r="I44" s="3" t="e">
        <f t="shared" si="13"/>
        <v>#NUM!</v>
      </c>
      <c r="J44" s="90" t="e">
        <f t="shared" si="23"/>
        <v>#NUM!</v>
      </c>
      <c r="K44" s="90" t="e">
        <f t="shared" si="24"/>
        <v>#NUM!</v>
      </c>
      <c r="L44" t="e">
        <f t="shared" si="9"/>
        <v>#NUM!</v>
      </c>
      <c r="M44" s="45" t="e">
        <f t="shared" si="15"/>
        <v>#NUM!</v>
      </c>
      <c r="N44" s="121" t="e">
        <f t="shared" si="16"/>
        <v>#NUM!</v>
      </c>
    </row>
    <row r="45" spans="1:15" x14ac:dyDescent="0.3">
      <c r="B45" s="3"/>
      <c r="C45" s="4"/>
      <c r="D45" s="4"/>
      <c r="E45" s="52"/>
      <c r="F45" s="52"/>
      <c r="G45" s="4"/>
      <c r="H45" s="4"/>
      <c r="I45" s="3"/>
      <c r="J45" s="90"/>
      <c r="K45" s="90"/>
      <c r="M45" s="84"/>
    </row>
    <row r="46" spans="1:15" x14ac:dyDescent="0.3">
      <c r="A46" s="20" t="s">
        <v>223</v>
      </c>
      <c r="B46" s="3"/>
      <c r="C46" s="4"/>
      <c r="D46" s="4"/>
      <c r="E46" s="52"/>
      <c r="F46" s="52"/>
      <c r="G46" s="4"/>
      <c r="H46" s="4"/>
      <c r="I46" s="3"/>
      <c r="J46" s="90"/>
      <c r="K46" s="90"/>
      <c r="M46" s="84"/>
    </row>
    <row r="47" spans="1:15" x14ac:dyDescent="0.3">
      <c r="B47" s="100" t="s">
        <v>200</v>
      </c>
      <c r="C47" s="101" t="s">
        <v>238</v>
      </c>
      <c r="D47" s="101" t="str">
        <f t="shared" ref="D47:F47" si="25">$B47</f>
        <v>###,##0</v>
      </c>
      <c r="E47" s="101" t="str">
        <f t="shared" si="25"/>
        <v>###,##0</v>
      </c>
      <c r="F47" s="101" t="str">
        <f t="shared" si="25"/>
        <v>###,##0</v>
      </c>
      <c r="G47" s="101" t="str">
        <f t="shared" ref="G47:I47" si="26">$B47</f>
        <v>###,##0</v>
      </c>
      <c r="H47" s="101" t="str">
        <f t="shared" si="26"/>
        <v>###,##0</v>
      </c>
      <c r="I47" s="101" t="str">
        <f t="shared" si="26"/>
        <v>###,##0</v>
      </c>
      <c r="J47" s="88" t="s">
        <v>201</v>
      </c>
      <c r="K47" s="88" t="s">
        <v>234</v>
      </c>
      <c r="L47" s="102" t="s">
        <v>235</v>
      </c>
      <c r="M47" s="120"/>
      <c r="N47" s="103" t="s">
        <v>273</v>
      </c>
      <c r="O47" t="s">
        <v>218</v>
      </c>
    </row>
    <row r="48" spans="1:15" x14ac:dyDescent="0.3">
      <c r="B48" s="100">
        <v>7</v>
      </c>
      <c r="C48" s="101">
        <v>8</v>
      </c>
      <c r="D48" s="101">
        <v>9</v>
      </c>
      <c r="E48" s="101">
        <v>9</v>
      </c>
      <c r="F48" s="101">
        <v>9</v>
      </c>
      <c r="G48" s="101">
        <v>9</v>
      </c>
      <c r="H48" s="101">
        <v>10</v>
      </c>
      <c r="I48" s="101">
        <v>9</v>
      </c>
      <c r="J48" s="101">
        <v>9</v>
      </c>
      <c r="K48" s="101">
        <v>9</v>
      </c>
      <c r="L48" s="101">
        <v>11</v>
      </c>
      <c r="M48" s="101">
        <v>7</v>
      </c>
      <c r="N48" s="101">
        <v>10</v>
      </c>
      <c r="O48" t="s">
        <v>219</v>
      </c>
    </row>
    <row r="49" spans="1:11" x14ac:dyDescent="0.3">
      <c r="B49" s="104"/>
      <c r="C49" s="105"/>
      <c r="D49" s="105"/>
      <c r="E49" s="105"/>
      <c r="F49" s="105"/>
      <c r="G49" s="105"/>
      <c r="H49" s="105"/>
      <c r="I49" s="106"/>
      <c r="J49" s="107"/>
      <c r="K49" s="108"/>
    </row>
    <row r="50" spans="1:11" x14ac:dyDescent="0.3">
      <c r="A50" s="20" t="s">
        <v>239</v>
      </c>
      <c r="B50" s="104"/>
      <c r="C50" s="105"/>
      <c r="D50" s="105"/>
      <c r="E50" s="105"/>
      <c r="F50" s="105"/>
      <c r="G50" s="105"/>
      <c r="H50" s="105"/>
      <c r="I50" s="106"/>
      <c r="J50" s="107"/>
      <c r="K50" s="108"/>
    </row>
    <row r="51" spans="1:11" x14ac:dyDescent="0.3">
      <c r="B51" s="109" t="str">
        <f>" Non SS"&amp;RIGHT("               +"&amp;TEXT(C5,"$##,##0"),C$48+D$48)&amp;"   Versus   Versus                             Ordinary"&amp;IF(C$5=0,"","         ")&amp;" Additional  Extra"</f>
        <v xml:space="preserve"> Non SS              +$0   Versus   Versus                             Ordinary Additional  Extra</v>
      </c>
      <c r="C51" s="105"/>
      <c r="D51" s="105"/>
      <c r="E51" s="105"/>
      <c r="F51" s="105"/>
      <c r="G51" s="105"/>
      <c r="H51" s="105"/>
      <c r="I51" s="106"/>
      <c r="J51" s="107"/>
      <c r="K51" s="108"/>
    </row>
    <row r="52" spans="1:11" x14ac:dyDescent="0.3">
      <c r="B52" s="83" t="str">
        <f>"  Ordi-         LTCG/QDI  "&amp;TEXT(C13,"$##,##0")&amp;"  "&amp;TEXT(C14,"$##,##0")&amp;"    Total  Adjusted            Income"&amp;IF(C$5=0,"","   LTCG &amp;")&amp;"   SS Taxed  Deduc"</f>
        <v xml:space="preserve">  Ordi-         LTCG/QDI  $25,000  $34,000    Total  Adjusted            Income   SS Taxed  Deduc</v>
      </c>
      <c r="C52" s="105"/>
      <c r="D52" s="105"/>
      <c r="E52" s="105"/>
      <c r="F52" s="105"/>
      <c r="G52" s="105"/>
      <c r="H52" s="105"/>
      <c r="I52" s="106"/>
      <c r="J52" s="107"/>
      <c r="K52" s="108"/>
    </row>
    <row r="53" spans="1:11" x14ac:dyDescent="0.3">
      <c r="B53" s="109" t="str">
        <f>"   nary"&amp;RIGHT("                +"&amp;TEXT(ROUND(C6/2,0),"$##,##0"),C$48+D$48)&amp;"     Base     Base  Taxable     Gross  Taxable      Tax"&amp;IF(C$5=0,"","  QDI Tax")&amp;"   for each  Phase  Marginal"</f>
        <v xml:space="preserve">   nary         +$18,000     Base     Base  Taxable     Gross  Taxable      Tax   for each  Phase  Marginal</v>
      </c>
      <c r="C53" s="105"/>
      <c r="D53" s="105"/>
      <c r="E53" s="105"/>
      <c r="F53" s="105"/>
      <c r="G53" s="105"/>
      <c r="H53" s="105"/>
      <c r="I53" s="106"/>
      <c r="J53" s="107"/>
      <c r="K53" s="108"/>
    </row>
    <row r="54" spans="1:11" x14ac:dyDescent="0.3">
      <c r="B54" s="109" t="str">
        <f>" Income   Range    of SS   50% SS   85% SS  Soc Sec    Income   Income  Bracket"&amp;IF(C$5=0,"","  Bracket")&amp;"  $1 Income    Out  Tax Rate"</f>
        <v xml:space="preserve"> Income   Range    of SS   50% SS   85% SS  Soc Sec    Income   Income  Bracket  $1 Income    Out  Tax Rate</v>
      </c>
      <c r="C54" s="105"/>
      <c r="D54" s="105"/>
      <c r="E54" s="105"/>
      <c r="F54" s="105"/>
      <c r="G54" s="105"/>
      <c r="H54" s="105"/>
      <c r="I54" s="106"/>
      <c r="J54" s="107"/>
      <c r="K54" s="108"/>
    </row>
    <row r="55" spans="1:11" x14ac:dyDescent="0.3">
      <c r="B55" s="110" t="str">
        <f>" ------   -----  -------   ------   ------  -------    ------   ------  -------"&amp;IF(C$5=0,"","  -------")&amp;"  ---------  -----  --------"</f>
        <v xml:space="preserve"> ------   -----  -------   ------   ------  -------    ------   ------  -------  ---------  -----  --------</v>
      </c>
      <c r="C55" s="105"/>
      <c r="D55" s="105"/>
      <c r="E55" s="105"/>
      <c r="F55" s="105"/>
      <c r="G55" s="105"/>
      <c r="H55" s="105"/>
      <c r="I55" s="106"/>
      <c r="J55" s="107"/>
      <c r="K55" s="108"/>
    </row>
    <row r="56" spans="1:11" x14ac:dyDescent="0.3">
      <c r="B56" s="109" t="str">
        <f t="shared" ref="B56:B67" si="27">RIGHT("      "&amp;TEXT(B33,B$47),B$48)&amp;RIGHT("        "&amp;TEXT(C33,C$47),C$48)&amp;RIGHT("          "&amp;TEXT(D33,D$47),D$48)&amp;RIGHT("          "&amp;TEXT(E33,E$47),E$48)&amp;RIGHT("          "&amp;TEXT(F33,F$47),F$48)&amp;RIGHT("          "&amp;TEXT(G33,G$47),G$48)&amp;RIGHT("          "&amp;TEXT(H33,H$47),H$48)&amp;RIGHT("          "&amp;TEXT(I33,I$47),I$48)&amp;RIGHT("          "&amp;TEXT(J33,J$47),J$48)&amp;IF(C$5=0,"",RIGHT("          "&amp;TEXT(K33,K$47),K$48))&amp;RIGHT("            "&amp;TEXT(L33,L$47),L$48)&amp;RIGHT("            "&amp;M33,M$48)&amp;RIGHT("          "&amp;TEXT(N33,N$47),N$48)</f>
        <v xml:space="preserve">  7,000   9,000   25,000        0        0        0     7,000        0       0%      $0.50           0.000%</v>
      </c>
      <c r="C56" s="105"/>
      <c r="D56" s="105"/>
      <c r="E56" s="105"/>
      <c r="F56" s="105"/>
      <c r="G56" s="105"/>
      <c r="H56" s="105"/>
      <c r="I56" s="106"/>
      <c r="J56" s="107"/>
      <c r="K56" s="108"/>
    </row>
    <row r="57" spans="1:11" x14ac:dyDescent="0.3">
      <c r="B57" s="109" t="str">
        <f t="shared" si="27"/>
        <v xml:space="preserve"> 16,000   1,973   34,000    4,500        0    4,500    20,500        0       0%      $0.85           0.000%</v>
      </c>
      <c r="C57" s="105"/>
      <c r="D57" s="105"/>
      <c r="E57" s="105"/>
      <c r="F57" s="105"/>
      <c r="G57" s="105"/>
      <c r="H57" s="105"/>
      <c r="I57" s="106"/>
      <c r="J57" s="107"/>
      <c r="K57" s="108"/>
    </row>
    <row r="58" spans="1:11" x14ac:dyDescent="0.3">
      <c r="B58" s="109" t="str">
        <f t="shared" si="27"/>
        <v xml:space="preserve"> 17,973   6,703   35,973    4,500    1,677    6,177    24,150        0      10%      $0.85          18.500%</v>
      </c>
      <c r="C58" s="105"/>
      <c r="D58" s="105"/>
      <c r="E58" s="105"/>
      <c r="F58" s="105"/>
      <c r="G58" s="105"/>
      <c r="H58" s="105"/>
      <c r="I58" s="106"/>
      <c r="J58" s="107"/>
      <c r="K58" s="108"/>
    </row>
    <row r="59" spans="1:11" x14ac:dyDescent="0.3">
      <c r="B59" s="109" t="str">
        <f t="shared" si="27"/>
        <v xml:space="preserve"> 24,676  20,541   42,676    4,500    7,374   11,874    36,550   12,400      12%      $0.85          22.200%</v>
      </c>
      <c r="C59" s="105"/>
      <c r="D59" s="105"/>
      <c r="E59" s="105"/>
      <c r="F59" s="105"/>
      <c r="G59" s="105"/>
      <c r="H59" s="105"/>
      <c r="I59" s="106"/>
      <c r="J59" s="107"/>
      <c r="K59" s="108"/>
    </row>
    <row r="60" spans="1:11" x14ac:dyDescent="0.3">
      <c r="B60" s="109" t="str">
        <f t="shared" si="27"/>
        <v xml:space="preserve"> 45,216     243   63,216    4,500   24,834   29,334    74,550   50,400      22%      $0.85          40.700%</v>
      </c>
      <c r="C60" s="105"/>
      <c r="D60" s="105"/>
      <c r="E60" s="105"/>
      <c r="F60" s="105"/>
      <c r="G60" s="105"/>
      <c r="H60" s="105"/>
      <c r="I60" s="106"/>
      <c r="J60" s="107"/>
      <c r="K60" s="108"/>
    </row>
    <row r="61" spans="1:11" x14ac:dyDescent="0.3">
      <c r="B61" s="109" t="str">
        <f t="shared" si="27"/>
        <v xml:space="preserve"> 45,459   1,246   63,459    4,500   25,041   29,541    75,000   50,850      22%      $0.85    yes   43.142%</v>
      </c>
      <c r="C61" s="105"/>
      <c r="D61" s="105"/>
      <c r="E61" s="105"/>
      <c r="F61" s="105"/>
      <c r="G61" s="105"/>
      <c r="H61" s="105"/>
      <c r="I61" s="106"/>
      <c r="J61" s="107"/>
      <c r="K61" s="108"/>
    </row>
    <row r="62" spans="1:11" x14ac:dyDescent="0.3">
      <c r="B62" s="109" t="str">
        <f t="shared" si="27"/>
        <v xml:space="preserve"> 46,706  49,439   64,706    4,500   26,100   30,600    77,306   53,294      22%               yes   23.320%</v>
      </c>
      <c r="C62" s="105"/>
      <c r="D62" s="105"/>
      <c r="E62" s="105"/>
      <c r="F62" s="105"/>
      <c r="G62" s="105"/>
      <c r="H62" s="105"/>
      <c r="I62" s="106"/>
      <c r="J62" s="107"/>
      <c r="K62" s="108"/>
    </row>
    <row r="63" spans="1:11" x14ac:dyDescent="0.3">
      <c r="B63" s="109" t="str">
        <f t="shared" si="27"/>
        <v xml:space="preserve"> 96,145  48,255  114,145    4,500   26,100   30,600   126,745  105,700      24%               yes   25.440%</v>
      </c>
      <c r="C63" s="105"/>
      <c r="D63" s="105"/>
      <c r="E63" s="105"/>
      <c r="F63" s="105"/>
      <c r="G63" s="105"/>
      <c r="H63" s="105"/>
      <c r="I63" s="106"/>
      <c r="J63" s="107"/>
      <c r="K63" s="108"/>
    </row>
    <row r="64" spans="1:11" x14ac:dyDescent="0.3">
      <c r="B64" s="109" t="str">
        <f t="shared" si="27"/>
        <v>144,400  44,925  162,400    4,500   26,100   30,600   175,000  156,850      24%                     24.000%</v>
      </c>
      <c r="C64" s="105"/>
      <c r="D64" s="105"/>
      <c r="E64" s="105"/>
      <c r="F64" s="105"/>
      <c r="G64" s="105"/>
      <c r="H64" s="105"/>
      <c r="I64" s="106"/>
      <c r="J64" s="107"/>
      <c r="K64" s="108"/>
    </row>
    <row r="65" spans="1:11" x14ac:dyDescent="0.3">
      <c r="B65" s="109" t="str">
        <f t="shared" si="27"/>
        <v>189,325          207,325    4,500   26,100   30,600   219,925  201,775      32%                     32.000%</v>
      </c>
      <c r="C65" s="105"/>
      <c r="D65" s="105"/>
      <c r="E65" s="105"/>
      <c r="F65" s="105"/>
      <c r="G65" s="105"/>
      <c r="H65" s="105"/>
      <c r="I65" s="106"/>
      <c r="J65" s="107"/>
      <c r="K65" s="108"/>
    </row>
    <row r="66" spans="1:11" x14ac:dyDescent="0.3">
      <c r="B66" s="109" t="e">
        <f t="shared" si="27"/>
        <v>#NUM!</v>
      </c>
      <c r="C66" s="105"/>
      <c r="D66" s="105"/>
      <c r="E66" s="105"/>
      <c r="F66" s="105"/>
      <c r="G66" s="105"/>
      <c r="H66" s="105"/>
      <c r="I66" s="106"/>
      <c r="J66" s="107"/>
      <c r="K66" s="108"/>
    </row>
    <row r="67" spans="1:11" x14ac:dyDescent="0.3">
      <c r="B67" s="109" t="e">
        <f t="shared" si="27"/>
        <v>#NUM!</v>
      </c>
      <c r="C67" s="105"/>
      <c r="D67" s="105"/>
      <c r="E67" s="105"/>
      <c r="F67" s="105"/>
      <c r="G67" s="105"/>
      <c r="H67" s="105"/>
      <c r="I67" s="106"/>
      <c r="J67" s="107"/>
      <c r="K67" s="108"/>
    </row>
    <row r="68" spans="1:11" x14ac:dyDescent="0.3">
      <c r="B68" s="104"/>
      <c r="C68" s="105"/>
      <c r="D68" s="105"/>
      <c r="E68" s="105"/>
      <c r="F68" s="105"/>
      <c r="G68" s="105"/>
      <c r="H68" s="105"/>
      <c r="I68" s="106"/>
      <c r="J68" s="107"/>
      <c r="K68" s="108"/>
    </row>
    <row r="69" spans="1:11" x14ac:dyDescent="0.3">
      <c r="A69" s="20" t="str">
        <f>IF(C5=0,"Wiki's rate table in monospaced font for Bogleheads post code block","Following Table INVALID since LTCG &amp; QDI not zero")</f>
        <v>Wiki's rate table in monospaced font for Bogleheads post code block</v>
      </c>
      <c r="B69" s="104"/>
      <c r="C69" s="105"/>
      <c r="D69" s="105"/>
      <c r="E69" s="105"/>
      <c r="F69" s="105"/>
      <c r="G69" s="105"/>
      <c r="H69" s="105"/>
      <c r="I69" s="106"/>
      <c r="J69" s="107"/>
      <c r="K69" s="108"/>
    </row>
    <row r="70" spans="1:11" x14ac:dyDescent="0.3">
      <c r="B70" s="109" t="s">
        <v>278</v>
      </c>
      <c r="C70" s="105"/>
      <c r="D70" s="105"/>
      <c r="E70" s="105"/>
      <c r="F70" s="105"/>
      <c r="G70" s="105"/>
      <c r="H70" s="105"/>
      <c r="I70" s="106"/>
      <c r="J70" s="107"/>
      <c r="K70" s="108"/>
    </row>
    <row r="71" spans="1:11" x14ac:dyDescent="0.3">
      <c r="B71" s="82" t="s">
        <v>277</v>
      </c>
      <c r="C71" s="105"/>
      <c r="D71" s="105"/>
      <c r="E71" s="105"/>
      <c r="F71" s="105"/>
      <c r="G71" s="105"/>
      <c r="H71" s="105"/>
      <c r="I71" s="106"/>
      <c r="J71" s="107"/>
      <c r="K71" s="108"/>
    </row>
    <row r="72" spans="1:11" x14ac:dyDescent="0.3">
      <c r="B72" s="109" t="s">
        <v>276</v>
      </c>
      <c r="C72" s="105"/>
      <c r="D72" s="105"/>
      <c r="E72" s="105"/>
      <c r="F72" s="105"/>
      <c r="G72" s="105"/>
      <c r="H72" s="105"/>
      <c r="I72" s="106"/>
      <c r="J72" s="107"/>
      <c r="K72" s="108"/>
    </row>
    <row r="73" spans="1:11" x14ac:dyDescent="0.3">
      <c r="B73" s="109" t="s">
        <v>275</v>
      </c>
      <c r="C73" s="105"/>
      <c r="D73" s="105"/>
      <c r="E73" s="105"/>
      <c r="F73" s="105"/>
      <c r="G73" s="105"/>
      <c r="H73" s="105"/>
      <c r="I73" s="106"/>
      <c r="J73" s="107"/>
      <c r="K73" s="108"/>
    </row>
    <row r="74" spans="1:11" x14ac:dyDescent="0.3">
      <c r="B74" s="110" t="s">
        <v>274</v>
      </c>
      <c r="C74" s="105"/>
      <c r="D74" s="105"/>
      <c r="E74" s="105"/>
      <c r="F74" s="105"/>
      <c r="G74" s="105"/>
      <c r="H74" s="105"/>
      <c r="I74" s="106"/>
      <c r="J74" s="107"/>
      <c r="K74" s="108"/>
    </row>
    <row r="75" spans="1:11" x14ac:dyDescent="0.3">
      <c r="B75" s="109" t="str">
        <f>RIGHT("      "&amp;TEXT(B33,B$47),B$48)&amp;RIGHT("          "&amp;TEXT(G33,G$47),G$48)&amp;RIGHT("          "&amp;TEXT(H33,H$47),H$48)&amp;RIGHT("          "&amp;TEXT(I33,I$47),I$48)&amp;RIGHT("          "&amp;TEXT(J33,J$47),J$48)&amp;RIGHT("           "&amp;TEXT(L33,L$47),L$48)&amp;RIGHT("        "&amp;M33,M$48)&amp;RIGHT("          "&amp;TEXT(N33,N$47),N$48)</f>
        <v xml:space="preserve">  7,000        0     7,000        0       0%      $0.50           0.000%</v>
      </c>
      <c r="C75" s="105"/>
      <c r="D75" s="105"/>
      <c r="E75" s="105"/>
      <c r="F75" s="105"/>
      <c r="G75" s="105"/>
      <c r="H75" s="105"/>
      <c r="I75" s="106"/>
      <c r="J75" s="107"/>
      <c r="K75" s="108"/>
    </row>
    <row r="76" spans="1:11" x14ac:dyDescent="0.3">
      <c r="B76" s="109" t="str">
        <f t="shared" ref="B76:B83" si="28">RIGHT("      "&amp;TEXT(B34,B$47),B$48)&amp;RIGHT("          "&amp;TEXT(G34,G$47),G$48)&amp;RIGHT("          "&amp;TEXT(H34,H$47),H$48)&amp;RIGHT("          "&amp;TEXT(I34,I$47),I$48)&amp;RIGHT("          "&amp;TEXT(J34,J$47),J$48)&amp;RIGHT("           "&amp;TEXT(L34,L$47),L$48)&amp;RIGHT("        "&amp;M34,M$48)&amp;RIGHT("          "&amp;TEXT(N34,N$47),N$48)</f>
        <v xml:space="preserve"> 16,000    4,500    20,500        0       0%      $0.85           0.000%</v>
      </c>
      <c r="C76" s="105"/>
      <c r="D76" s="105"/>
      <c r="E76" s="105"/>
      <c r="F76" s="105"/>
      <c r="G76" s="105"/>
      <c r="H76" s="105"/>
      <c r="I76" s="106"/>
      <c r="J76" s="107"/>
      <c r="K76" s="108"/>
    </row>
    <row r="77" spans="1:11" x14ac:dyDescent="0.3">
      <c r="B77" s="109" t="str">
        <f t="shared" si="28"/>
        <v xml:space="preserve"> 17,973    6,177    24,150        0      10%      $0.85          18.500%</v>
      </c>
      <c r="C77" s="105"/>
      <c r="D77" s="105"/>
      <c r="E77" s="105"/>
      <c r="F77" s="105"/>
      <c r="G77" s="105"/>
      <c r="H77" s="105"/>
      <c r="I77" s="106"/>
      <c r="J77" s="107"/>
      <c r="K77" s="108"/>
    </row>
    <row r="78" spans="1:11" x14ac:dyDescent="0.3">
      <c r="B78" s="109" t="str">
        <f t="shared" si="28"/>
        <v xml:space="preserve"> 24,676   11,874    36,550   12,400      12%      $0.85          22.200%</v>
      </c>
      <c r="C78" s="105"/>
      <c r="D78" s="105"/>
      <c r="E78" s="105"/>
      <c r="F78" s="105"/>
      <c r="G78" s="105"/>
      <c r="H78" s="105"/>
      <c r="I78" s="106"/>
      <c r="J78" s="107"/>
      <c r="K78" s="108"/>
    </row>
    <row r="79" spans="1:11" x14ac:dyDescent="0.3">
      <c r="B79" s="109" t="str">
        <f t="shared" si="28"/>
        <v xml:space="preserve"> 45,216   29,334    74,550   50,400      22%      $0.85          40.700%</v>
      </c>
      <c r="C79" s="105"/>
      <c r="D79" s="105"/>
      <c r="E79" s="105"/>
      <c r="F79" s="105"/>
      <c r="G79" s="105"/>
      <c r="H79" s="105"/>
      <c r="I79" s="106"/>
      <c r="J79" s="107"/>
      <c r="K79" s="108"/>
    </row>
    <row r="80" spans="1:11" x14ac:dyDescent="0.3">
      <c r="B80" s="109" t="str">
        <f t="shared" si="28"/>
        <v xml:space="preserve"> 45,459   29,541    75,000   50,850      22%      $0.85    yes   43.142%</v>
      </c>
      <c r="C80" s="105"/>
      <c r="D80" s="105"/>
      <c r="E80" s="105"/>
      <c r="F80" s="105"/>
      <c r="G80" s="105"/>
      <c r="H80" s="105"/>
      <c r="I80" s="106"/>
      <c r="J80" s="107"/>
      <c r="K80" s="108"/>
    </row>
    <row r="81" spans="2:11" x14ac:dyDescent="0.3">
      <c r="B81" s="109" t="str">
        <f t="shared" si="28"/>
        <v xml:space="preserve"> 46,706   30,600    77,306   53,294      22%               yes   23.320%</v>
      </c>
      <c r="C81" s="105"/>
      <c r="D81" s="105"/>
      <c r="E81" s="105"/>
      <c r="F81" s="105"/>
      <c r="G81" s="105"/>
      <c r="H81" s="105"/>
      <c r="I81" s="106"/>
      <c r="J81" s="107"/>
      <c r="K81" s="108"/>
    </row>
    <row r="82" spans="2:11" x14ac:dyDescent="0.3">
      <c r="B82" s="109" t="str">
        <f>RIGHT("      "&amp;TEXT(B40,B$47),B$48)&amp;RIGHT("          "&amp;TEXT(G40,G$47),G$48)&amp;RIGHT("          "&amp;TEXT(H40,H$47),H$48)&amp;RIGHT("          "&amp;TEXT(I40,I$47),I$48)&amp;RIGHT("          "&amp;TEXT(J40,J$47),J$48)&amp;RIGHT("           "&amp;TEXT(L40,L$47),L$48)&amp;RIGHT("        "&amp;M40,M$48)&amp;RIGHT("          "&amp;TEXT(N40,N$47),N$48)</f>
        <v xml:space="preserve"> 96,145   30,600   126,745  105,700      24%               yes   25.440%</v>
      </c>
      <c r="C82" s="4"/>
      <c r="D82" s="52"/>
      <c r="E82" s="52"/>
      <c r="F82" s="4"/>
      <c r="G82" s="4"/>
      <c r="H82" s="4"/>
      <c r="I82" s="90"/>
      <c r="K82" s="84"/>
    </row>
    <row r="83" spans="2:11" x14ac:dyDescent="0.3">
      <c r="B83" s="109" t="str">
        <f t="shared" si="28"/>
        <v>144,400   30,600   175,000  156,850      24%                     24.000%</v>
      </c>
      <c r="C83" s="4"/>
      <c r="D83" s="52"/>
      <c r="E83" s="52"/>
      <c r="F83" s="4"/>
      <c r="G83" s="4"/>
      <c r="H83" s="4"/>
      <c r="I83" s="90"/>
      <c r="K83" s="84"/>
    </row>
    <row r="84" spans="2:11" x14ac:dyDescent="0.3">
      <c r="B84" s="109" t="str">
        <f>RIGHT("      "&amp;TEXT(B42,B$47),B$48)&amp;RIGHT("          "&amp;TEXT(G42,G$47),G$48)&amp;RIGHT("          "&amp;TEXT(H42,H$47),H$48)&amp;RIGHT("          "&amp;TEXT(I42,I$47),I$48)&amp;RIGHT("          "&amp;TEXT(J42,J$47),J$48)&amp;RIGHT("           "&amp;TEXT(L42,L$47),L$48)&amp;RIGHT("        "&amp;M42,M$48)&amp;RIGHT("          "&amp;TEXT(N42,N$47),N$48)</f>
        <v>189,325   30,600   219,925  201,775      32%                     32.000%</v>
      </c>
      <c r="C84" s="4"/>
      <c r="D84" s="52"/>
      <c r="E84" s="52"/>
      <c r="F84" s="4"/>
      <c r="G84" s="4"/>
      <c r="H84" s="4"/>
      <c r="I84" s="90"/>
      <c r="K84" s="84"/>
    </row>
    <row r="85" spans="2:11" x14ac:dyDescent="0.3">
      <c r="B85" s="96"/>
      <c r="C85" s="4"/>
      <c r="D85" s="52"/>
      <c r="E85" s="52"/>
      <c r="F85" s="4"/>
      <c r="G85" s="4"/>
      <c r="H85" s="4"/>
      <c r="I85" s="90"/>
      <c r="K85" s="84"/>
    </row>
    <row r="86" spans="2:11" x14ac:dyDescent="0.3">
      <c r="B86" s="96"/>
      <c r="C86" s="4"/>
      <c r="D86" s="52"/>
      <c r="E86" s="52"/>
      <c r="F86" s="4"/>
      <c r="G86" s="4"/>
      <c r="H86" s="4"/>
      <c r="I86" s="90"/>
      <c r="K86" s="84"/>
    </row>
    <row r="87" spans="2:11" x14ac:dyDescent="0.3">
      <c r="B87" s="96"/>
      <c r="C87" s="4"/>
      <c r="D87" s="52"/>
      <c r="E87" s="52"/>
      <c r="F87" s="4"/>
      <c r="G87" s="4"/>
      <c r="H87" s="4"/>
      <c r="I87" s="90"/>
      <c r="K87" s="84"/>
    </row>
    <row r="88" spans="2:11" x14ac:dyDescent="0.3">
      <c r="B88" s="96"/>
      <c r="C88" s="4"/>
      <c r="D88" s="52"/>
      <c r="E88" s="52"/>
      <c r="F88" s="4"/>
      <c r="G88" s="4"/>
      <c r="H88" s="4"/>
      <c r="I88" s="90"/>
      <c r="K88" s="84"/>
    </row>
    <row r="89" spans="2:11" x14ac:dyDescent="0.3">
      <c r="B89" s="96"/>
      <c r="C89" s="4"/>
      <c r="D89" s="52"/>
      <c r="E89" s="52"/>
      <c r="F89" s="4"/>
      <c r="G89" s="4"/>
      <c r="H89" s="4"/>
      <c r="I89" s="90"/>
      <c r="K89" s="84"/>
    </row>
    <row r="90" spans="2:11" x14ac:dyDescent="0.3">
      <c r="B90" s="96"/>
      <c r="C90" s="4"/>
      <c r="D90" s="52"/>
      <c r="E90" s="52"/>
      <c r="F90" s="4"/>
      <c r="G90" s="4"/>
      <c r="H90" s="4"/>
      <c r="I90" s="90"/>
      <c r="K90" s="84"/>
    </row>
    <row r="91" spans="2:11" x14ac:dyDescent="0.3">
      <c r="B91" s="96"/>
      <c r="C91" s="4"/>
      <c r="D91" s="52"/>
      <c r="E91" s="52"/>
      <c r="F91" s="4"/>
      <c r="G91" s="4"/>
      <c r="H91" s="4"/>
      <c r="I91" s="90"/>
      <c r="K91" s="84"/>
    </row>
    <row r="92" spans="2:11" x14ac:dyDescent="0.3">
      <c r="B92" s="3"/>
      <c r="C92" s="4"/>
      <c r="D92" s="52"/>
      <c r="E92" s="52"/>
      <c r="F92" s="4"/>
      <c r="G92" s="4"/>
      <c r="H92" s="4"/>
      <c r="I92" s="90"/>
      <c r="K92" s="84"/>
    </row>
    <row r="93" spans="2:11" x14ac:dyDescent="0.3">
      <c r="C93"/>
    </row>
    <row r="94" spans="2:11" x14ac:dyDescent="0.3">
      <c r="C94"/>
    </row>
    <row r="95" spans="2:11" x14ac:dyDescent="0.3">
      <c r="C95"/>
    </row>
    <row r="96" spans="2:11" x14ac:dyDescent="0.3">
      <c r="C96"/>
    </row>
    <row r="97" spans="3:3" x14ac:dyDescent="0.3">
      <c r="C97"/>
    </row>
    <row r="98" spans="3:3" x14ac:dyDescent="0.3">
      <c r="C98"/>
    </row>
    <row r="99" spans="3:3" x14ac:dyDescent="0.3">
      <c r="C99"/>
    </row>
    <row r="100" spans="3:3" x14ac:dyDescent="0.3">
      <c r="C100"/>
    </row>
    <row r="101" spans="3:3" x14ac:dyDescent="0.3">
      <c r="C101"/>
    </row>
    <row r="102" spans="3:3" x14ac:dyDescent="0.3">
      <c r="C102"/>
    </row>
    <row r="103" spans="3:3" x14ac:dyDescent="0.3">
      <c r="C103"/>
    </row>
    <row r="104" spans="3:3" x14ac:dyDescent="0.3">
      <c r="C104"/>
    </row>
    <row r="105" spans="3:3" x14ac:dyDescent="0.3">
      <c r="C105"/>
    </row>
    <row r="106" spans="3:3" x14ac:dyDescent="0.3">
      <c r="C106"/>
    </row>
    <row r="107" spans="3:3" x14ac:dyDescent="0.3">
      <c r="C107"/>
    </row>
    <row r="108" spans="3:3" x14ac:dyDescent="0.3">
      <c r="C108"/>
    </row>
    <row r="109" spans="3:3" x14ac:dyDescent="0.3">
      <c r="C109"/>
    </row>
    <row r="110" spans="3:3" x14ac:dyDescent="0.3">
      <c r="C110"/>
    </row>
    <row r="111" spans="3:3" x14ac:dyDescent="0.3">
      <c r="C111"/>
    </row>
    <row r="112" spans="3:3" x14ac:dyDescent="0.3">
      <c r="C112"/>
    </row>
    <row r="113" spans="3:3" x14ac:dyDescent="0.3">
      <c r="C113"/>
    </row>
    <row r="114" spans="3:3" x14ac:dyDescent="0.3">
      <c r="C114"/>
    </row>
    <row r="115" spans="3:3" x14ac:dyDescent="0.3">
      <c r="C115"/>
    </row>
    <row r="116" spans="3:3" x14ac:dyDescent="0.3">
      <c r="C116"/>
    </row>
    <row r="117" spans="3:3" x14ac:dyDescent="0.3">
      <c r="C117"/>
    </row>
    <row r="118" spans="3:3" x14ac:dyDescent="0.3">
      <c r="C118"/>
    </row>
    <row r="119" spans="3:3" x14ac:dyDescent="0.3">
      <c r="C119"/>
    </row>
    <row r="120" spans="3:3" x14ac:dyDescent="0.3">
      <c r="C120"/>
    </row>
    <row r="121" spans="3:3" x14ac:dyDescent="0.3">
      <c r="C121"/>
    </row>
    <row r="122" spans="3:3" x14ac:dyDescent="0.3">
      <c r="C122"/>
    </row>
    <row r="123" spans="3:3" x14ac:dyDescent="0.3">
      <c r="C123"/>
    </row>
    <row r="124" spans="3:3" x14ac:dyDescent="0.3">
      <c r="C124"/>
    </row>
    <row r="125" spans="3:3" x14ac:dyDescent="0.3">
      <c r="C125"/>
    </row>
    <row r="126" spans="3:3" x14ac:dyDescent="0.3">
      <c r="C126"/>
    </row>
    <row r="127" spans="3:3" x14ac:dyDescent="0.3">
      <c r="C127"/>
    </row>
    <row r="128" spans="3:3" x14ac:dyDescent="0.3">
      <c r="C128"/>
    </row>
    <row r="129" spans="3:3" x14ac:dyDescent="0.3">
      <c r="C129"/>
    </row>
    <row r="130" spans="3:3" x14ac:dyDescent="0.3">
      <c r="C130"/>
    </row>
  </sheetData>
  <sheetProtection sheet="1" formatCells="0" formatColumns="0" formatRows="0"/>
  <phoneticPr fontId="13" type="noConversion"/>
  <conditionalFormatting sqref="A69">
    <cfRule type="expression" dxfId="1" priority="1">
      <formula>$C$5&lt;&gt;0</formula>
    </cfRule>
  </conditionalFormatting>
  <conditionalFormatting sqref="B70:B84">
    <cfRule type="expression" dxfId="0" priority="2">
      <formula>$C$5&lt;&gt;0</formula>
    </cfRule>
  </conditionalFormatting>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3"/>
  <sheetViews>
    <sheetView workbookViewId="0">
      <selection activeCell="P3" sqref="P3:P4"/>
    </sheetView>
  </sheetViews>
  <sheetFormatPr defaultColWidth="11" defaultRowHeight="13.5" x14ac:dyDescent="0.3"/>
  <cols>
    <col min="1" max="1" width="2.84375" style="20" customWidth="1"/>
    <col min="2" max="2" width="18.765625" customWidth="1"/>
    <col min="3" max="3" width="9.23046875" customWidth="1"/>
    <col min="4" max="9" width="9.765625" style="3" customWidth="1"/>
    <col min="10" max="21" width="9" customWidth="1"/>
    <col min="22" max="29" width="9" bestFit="1" customWidth="1"/>
  </cols>
  <sheetData>
    <row r="1" spans="1:31" s="45" customFormat="1" x14ac:dyDescent="0.3">
      <c r="A1" s="44" t="s">
        <v>134</v>
      </c>
      <c r="D1" s="114" t="str">
        <f>"1"&amp;D2</f>
        <v>12014</v>
      </c>
      <c r="E1" s="115" t="str">
        <f t="shared" ref="E1:P1" si="0">"1"&amp;E2</f>
        <v>12015</v>
      </c>
      <c r="F1" s="115" t="str">
        <f t="shared" si="0"/>
        <v>12016</v>
      </c>
      <c r="G1" s="115" t="str">
        <f t="shared" si="0"/>
        <v>12017</v>
      </c>
      <c r="H1" s="115" t="str">
        <f t="shared" si="0"/>
        <v>12018</v>
      </c>
      <c r="I1" s="115" t="str">
        <f t="shared" si="0"/>
        <v>12019</v>
      </c>
      <c r="J1" s="115" t="str">
        <f t="shared" si="0"/>
        <v>12020</v>
      </c>
      <c r="K1" s="115" t="str">
        <f t="shared" si="0"/>
        <v>12021</v>
      </c>
      <c r="L1" s="115" t="str">
        <f t="shared" si="0"/>
        <v>12022</v>
      </c>
      <c r="M1" s="115" t="str">
        <f t="shared" si="0"/>
        <v>12023</v>
      </c>
      <c r="N1" s="115" t="str">
        <f t="shared" si="0"/>
        <v>12024</v>
      </c>
      <c r="O1" s="115" t="str">
        <f t="shared" si="0"/>
        <v>12025</v>
      </c>
      <c r="P1" s="116" t="str">
        <f t="shared" si="0"/>
        <v>12026</v>
      </c>
      <c r="Q1" s="117" t="str">
        <f>"2"&amp;Q2</f>
        <v>22014</v>
      </c>
      <c r="R1" s="117" t="str">
        <f t="shared" ref="R1:AC1" si="1">"2"&amp;R2</f>
        <v>22015</v>
      </c>
      <c r="S1" s="117" t="str">
        <f t="shared" si="1"/>
        <v>22016</v>
      </c>
      <c r="T1" s="117" t="str">
        <f t="shared" si="1"/>
        <v>22017</v>
      </c>
      <c r="U1" s="117" t="str">
        <f t="shared" si="1"/>
        <v>22018</v>
      </c>
      <c r="V1" s="117" t="str">
        <f t="shared" si="1"/>
        <v>22019</v>
      </c>
      <c r="W1" s="117" t="str">
        <f t="shared" si="1"/>
        <v>22020</v>
      </c>
      <c r="X1" s="117" t="str">
        <f t="shared" si="1"/>
        <v>22021</v>
      </c>
      <c r="Y1" s="117" t="str">
        <f t="shared" si="1"/>
        <v>22022</v>
      </c>
      <c r="Z1" s="117" t="str">
        <f t="shared" si="1"/>
        <v>22023</v>
      </c>
      <c r="AA1" s="117" t="str">
        <f t="shared" si="1"/>
        <v>22024</v>
      </c>
      <c r="AB1" s="117" t="str">
        <f t="shared" si="1"/>
        <v>22025</v>
      </c>
      <c r="AC1" s="118" t="str">
        <f t="shared" si="1"/>
        <v>22026</v>
      </c>
    </row>
    <row r="2" spans="1:31" x14ac:dyDescent="0.3">
      <c r="C2" s="6" t="s">
        <v>72</v>
      </c>
      <c r="D2" s="62">
        <v>2014</v>
      </c>
      <c r="E2" s="63">
        <v>2015</v>
      </c>
      <c r="F2" s="63">
        <v>2016</v>
      </c>
      <c r="G2" s="63">
        <v>2017</v>
      </c>
      <c r="H2" s="63">
        <v>2018</v>
      </c>
      <c r="I2" s="63">
        <v>2019</v>
      </c>
      <c r="J2" s="63">
        <v>2020</v>
      </c>
      <c r="K2" s="63">
        <v>2021</v>
      </c>
      <c r="L2" s="63">
        <v>2022</v>
      </c>
      <c r="M2" s="63">
        <v>2023</v>
      </c>
      <c r="N2" s="63">
        <v>2024</v>
      </c>
      <c r="O2" s="63">
        <v>2025</v>
      </c>
      <c r="P2" s="64">
        <v>2026</v>
      </c>
      <c r="Q2" s="63">
        <v>2014</v>
      </c>
      <c r="R2" s="63">
        <v>2015</v>
      </c>
      <c r="S2" s="63">
        <v>2016</v>
      </c>
      <c r="T2" s="63">
        <v>2017</v>
      </c>
      <c r="U2" s="63">
        <v>2018</v>
      </c>
      <c r="V2" s="63">
        <v>2019</v>
      </c>
      <c r="W2" s="63">
        <v>2020</v>
      </c>
      <c r="X2" s="63">
        <v>2021</v>
      </c>
      <c r="Y2" s="63">
        <v>2022</v>
      </c>
      <c r="Z2" s="63">
        <v>2023</v>
      </c>
      <c r="AA2" s="63">
        <v>2024</v>
      </c>
      <c r="AB2" s="63">
        <v>2025</v>
      </c>
      <c r="AC2" s="64">
        <v>2026</v>
      </c>
    </row>
    <row r="3" spans="1:31" x14ac:dyDescent="0.3">
      <c r="B3" s="3"/>
      <c r="C3" s="6" t="s">
        <v>11</v>
      </c>
      <c r="D3" s="65">
        <v>6200</v>
      </c>
      <c r="E3" s="66">
        <v>6300</v>
      </c>
      <c r="F3" s="66">
        <v>6300</v>
      </c>
      <c r="G3" s="66">
        <v>6350</v>
      </c>
      <c r="H3" s="66">
        <v>12000</v>
      </c>
      <c r="I3" s="66">
        <v>12200</v>
      </c>
      <c r="J3" s="66">
        <v>12400</v>
      </c>
      <c r="K3" s="66">
        <v>12550</v>
      </c>
      <c r="L3" s="66">
        <v>12950</v>
      </c>
      <c r="M3" s="66">
        <v>13850</v>
      </c>
      <c r="N3" s="66">
        <v>14600</v>
      </c>
      <c r="O3" s="66">
        <v>15750</v>
      </c>
      <c r="P3" s="67">
        <v>16100</v>
      </c>
      <c r="Q3" s="66">
        <v>12400</v>
      </c>
      <c r="R3" s="66">
        <v>12600</v>
      </c>
      <c r="S3" s="66">
        <v>12600</v>
      </c>
      <c r="T3" s="66">
        <v>12700</v>
      </c>
      <c r="U3" s="66">
        <v>24000</v>
      </c>
      <c r="V3" s="66">
        <v>24400</v>
      </c>
      <c r="W3" s="66">
        <v>24800</v>
      </c>
      <c r="X3" s="66">
        <v>25100</v>
      </c>
      <c r="Y3" s="66">
        <v>25900</v>
      </c>
      <c r="Z3" s="66">
        <v>27700</v>
      </c>
      <c r="AA3" s="66">
        <v>29200</v>
      </c>
      <c r="AB3" s="66">
        <v>31500</v>
      </c>
      <c r="AC3" s="67">
        <v>32200</v>
      </c>
    </row>
    <row r="4" spans="1:31" x14ac:dyDescent="0.3">
      <c r="B4" s="3"/>
      <c r="C4" s="6" t="s">
        <v>135</v>
      </c>
      <c r="D4" s="65">
        <v>1550</v>
      </c>
      <c r="E4" s="66">
        <v>1550</v>
      </c>
      <c r="F4" s="66">
        <v>1550</v>
      </c>
      <c r="G4" s="66">
        <v>1550</v>
      </c>
      <c r="H4" s="66">
        <v>1600</v>
      </c>
      <c r="I4" s="66">
        <v>1650</v>
      </c>
      <c r="J4" s="66">
        <v>1650</v>
      </c>
      <c r="K4" s="66">
        <v>1700</v>
      </c>
      <c r="L4" s="66">
        <v>1750</v>
      </c>
      <c r="M4" s="66">
        <v>1850</v>
      </c>
      <c r="N4" s="66">
        <v>1950</v>
      </c>
      <c r="O4" s="66">
        <v>2000</v>
      </c>
      <c r="P4" s="67">
        <v>2050</v>
      </c>
      <c r="Q4" s="66">
        <v>1200</v>
      </c>
      <c r="R4" s="66">
        <v>1250</v>
      </c>
      <c r="S4" s="66">
        <v>1250</v>
      </c>
      <c r="T4" s="66">
        <v>1250</v>
      </c>
      <c r="U4" s="66">
        <v>1300</v>
      </c>
      <c r="V4" s="66">
        <v>1300</v>
      </c>
      <c r="W4" s="66">
        <v>1300</v>
      </c>
      <c r="X4" s="66">
        <v>1350</v>
      </c>
      <c r="Y4" s="66">
        <v>1400</v>
      </c>
      <c r="Z4" s="66">
        <v>1500</v>
      </c>
      <c r="AA4" s="66">
        <v>1550</v>
      </c>
      <c r="AB4" s="66">
        <v>1600</v>
      </c>
      <c r="AC4" s="67">
        <v>1650</v>
      </c>
    </row>
    <row r="5" spans="1:31" x14ac:dyDescent="0.3">
      <c r="B5" s="3"/>
      <c r="C5" s="6" t="s">
        <v>12</v>
      </c>
      <c r="D5" s="65">
        <v>3950</v>
      </c>
      <c r="E5" s="66">
        <v>4000</v>
      </c>
      <c r="F5" s="66">
        <v>4050</v>
      </c>
      <c r="G5" s="66">
        <v>4050</v>
      </c>
      <c r="H5" s="66">
        <v>0</v>
      </c>
      <c r="I5" s="66">
        <v>0</v>
      </c>
      <c r="J5" s="66">
        <v>0</v>
      </c>
      <c r="K5" s="66">
        <v>0</v>
      </c>
      <c r="L5" s="66">
        <v>0</v>
      </c>
      <c r="M5" s="66">
        <v>0</v>
      </c>
      <c r="N5" s="66">
        <v>0</v>
      </c>
      <c r="O5" s="66">
        <v>0</v>
      </c>
      <c r="P5" s="67">
        <v>0</v>
      </c>
      <c r="Q5" s="66">
        <v>7900</v>
      </c>
      <c r="R5" s="66">
        <v>8000</v>
      </c>
      <c r="S5" s="66">
        <v>8100</v>
      </c>
      <c r="T5" s="66">
        <v>8100</v>
      </c>
      <c r="U5" s="66">
        <v>0</v>
      </c>
      <c r="V5" s="66">
        <v>0</v>
      </c>
      <c r="W5" s="66">
        <v>0</v>
      </c>
      <c r="X5" s="66">
        <v>0</v>
      </c>
      <c r="Y5" s="66">
        <v>0</v>
      </c>
      <c r="Z5" s="66">
        <v>0</v>
      </c>
      <c r="AA5" s="66">
        <v>0</v>
      </c>
      <c r="AB5" s="66">
        <v>0</v>
      </c>
      <c r="AC5" s="67">
        <v>0</v>
      </c>
    </row>
    <row r="6" spans="1:31" x14ac:dyDescent="0.3">
      <c r="B6" s="3"/>
      <c r="C6" s="6" t="s">
        <v>13</v>
      </c>
      <c r="D6" s="65">
        <v>25000</v>
      </c>
      <c r="E6" s="66">
        <v>25000</v>
      </c>
      <c r="F6" s="66">
        <v>25000</v>
      </c>
      <c r="G6" s="66">
        <v>25000</v>
      </c>
      <c r="H6" s="66">
        <v>25000</v>
      </c>
      <c r="I6" s="66">
        <v>25000</v>
      </c>
      <c r="J6" s="66">
        <v>25000</v>
      </c>
      <c r="K6" s="66">
        <v>25000</v>
      </c>
      <c r="L6" s="66">
        <v>25000</v>
      </c>
      <c r="M6" s="66">
        <v>25000</v>
      </c>
      <c r="N6" s="66">
        <v>25000</v>
      </c>
      <c r="O6" s="66">
        <v>25000</v>
      </c>
      <c r="P6" s="67">
        <v>25000</v>
      </c>
      <c r="Q6" s="66">
        <v>32000</v>
      </c>
      <c r="R6" s="66">
        <v>32000</v>
      </c>
      <c r="S6" s="66">
        <v>32000</v>
      </c>
      <c r="T6" s="66">
        <v>32000</v>
      </c>
      <c r="U6" s="66">
        <v>32000</v>
      </c>
      <c r="V6" s="66">
        <v>32000</v>
      </c>
      <c r="W6" s="66">
        <v>32000</v>
      </c>
      <c r="X6" s="66">
        <v>32000</v>
      </c>
      <c r="Y6" s="66">
        <v>32000</v>
      </c>
      <c r="Z6" s="66">
        <v>32000</v>
      </c>
      <c r="AA6" s="66">
        <v>32000</v>
      </c>
      <c r="AB6" s="66">
        <v>32000</v>
      </c>
      <c r="AC6" s="67">
        <v>32000</v>
      </c>
    </row>
    <row r="7" spans="1:31" x14ac:dyDescent="0.3">
      <c r="B7" s="3"/>
      <c r="C7" s="6" t="s">
        <v>14</v>
      </c>
      <c r="D7" s="65">
        <v>34000</v>
      </c>
      <c r="E7" s="66">
        <v>34000</v>
      </c>
      <c r="F7" s="66">
        <v>34000</v>
      </c>
      <c r="G7" s="66">
        <v>34000</v>
      </c>
      <c r="H7" s="66">
        <v>34000</v>
      </c>
      <c r="I7" s="66">
        <v>34000</v>
      </c>
      <c r="J7" s="66">
        <v>34000</v>
      </c>
      <c r="K7" s="66">
        <v>34000</v>
      </c>
      <c r="L7" s="66">
        <v>34000</v>
      </c>
      <c r="M7" s="66">
        <v>34000</v>
      </c>
      <c r="N7" s="66">
        <v>34000</v>
      </c>
      <c r="O7" s="66">
        <v>34000</v>
      </c>
      <c r="P7" s="67">
        <v>34000</v>
      </c>
      <c r="Q7" s="66">
        <v>44000</v>
      </c>
      <c r="R7" s="66">
        <v>44000</v>
      </c>
      <c r="S7" s="66">
        <v>44000</v>
      </c>
      <c r="T7" s="66">
        <v>44000</v>
      </c>
      <c r="U7" s="66">
        <v>44000</v>
      </c>
      <c r="V7" s="66">
        <v>44000</v>
      </c>
      <c r="W7" s="66">
        <v>44000</v>
      </c>
      <c r="X7" s="66">
        <v>44000</v>
      </c>
      <c r="Y7" s="66">
        <v>44000</v>
      </c>
      <c r="Z7" s="66">
        <v>44000</v>
      </c>
      <c r="AA7" s="66">
        <v>44000</v>
      </c>
      <c r="AB7" s="66">
        <v>44000</v>
      </c>
      <c r="AC7" s="67">
        <v>44000</v>
      </c>
    </row>
    <row r="8" spans="1:31" x14ac:dyDescent="0.3">
      <c r="C8" s="6" t="s">
        <v>136</v>
      </c>
      <c r="D8" s="65">
        <v>0</v>
      </c>
      <c r="E8" s="66">
        <v>0</v>
      </c>
      <c r="F8" s="66">
        <v>0</v>
      </c>
      <c r="G8" s="66">
        <v>0</v>
      </c>
      <c r="H8" s="66">
        <v>0</v>
      </c>
      <c r="I8" s="66">
        <v>0</v>
      </c>
      <c r="J8" s="66">
        <v>0</v>
      </c>
      <c r="K8" s="66">
        <v>0</v>
      </c>
      <c r="L8" s="66">
        <v>0</v>
      </c>
      <c r="M8" s="66">
        <v>0</v>
      </c>
      <c r="N8" s="66">
        <v>0</v>
      </c>
      <c r="O8" s="66">
        <v>0</v>
      </c>
      <c r="P8" s="67">
        <v>0</v>
      </c>
      <c r="Q8" s="66">
        <v>0</v>
      </c>
      <c r="R8" s="66">
        <v>0</v>
      </c>
      <c r="S8" s="66">
        <v>0</v>
      </c>
      <c r="T8" s="66">
        <v>0</v>
      </c>
      <c r="U8" s="66">
        <v>0</v>
      </c>
      <c r="V8" s="66">
        <v>0</v>
      </c>
      <c r="W8" s="66">
        <v>0</v>
      </c>
      <c r="X8" s="66">
        <v>0</v>
      </c>
      <c r="Y8" s="66">
        <v>0</v>
      </c>
      <c r="Z8" s="66">
        <v>0</v>
      </c>
      <c r="AA8" s="66">
        <v>0</v>
      </c>
      <c r="AB8" s="66">
        <v>0</v>
      </c>
      <c r="AC8" s="67">
        <v>0</v>
      </c>
    </row>
    <row r="9" spans="1:31" x14ac:dyDescent="0.3">
      <c r="C9" s="6" t="s">
        <v>137</v>
      </c>
      <c r="D9" s="65">
        <v>9075</v>
      </c>
      <c r="E9" s="66">
        <v>9225</v>
      </c>
      <c r="F9" s="66">
        <v>9275</v>
      </c>
      <c r="G9" s="66">
        <v>9325</v>
      </c>
      <c r="H9" s="66">
        <v>9525</v>
      </c>
      <c r="I9" s="66">
        <v>9700</v>
      </c>
      <c r="J9" s="66">
        <v>9875</v>
      </c>
      <c r="K9" s="66">
        <v>9950</v>
      </c>
      <c r="L9" s="66">
        <v>10275</v>
      </c>
      <c r="M9" s="66">
        <v>11000</v>
      </c>
      <c r="N9" s="66">
        <v>11600</v>
      </c>
      <c r="O9" s="66">
        <v>11925</v>
      </c>
      <c r="P9" s="67">
        <v>12400</v>
      </c>
      <c r="Q9" s="66">
        <v>18150</v>
      </c>
      <c r="R9" s="66">
        <v>18450</v>
      </c>
      <c r="S9" s="66">
        <v>18550</v>
      </c>
      <c r="T9" s="66">
        <v>18650</v>
      </c>
      <c r="U9" s="66">
        <v>19050</v>
      </c>
      <c r="V9" s="66">
        <v>19400</v>
      </c>
      <c r="W9" s="66">
        <v>19750</v>
      </c>
      <c r="X9" s="66">
        <v>19900</v>
      </c>
      <c r="Y9" s="66">
        <v>20550</v>
      </c>
      <c r="Z9" s="66">
        <v>22000</v>
      </c>
      <c r="AA9" s="66">
        <v>23200</v>
      </c>
      <c r="AB9" s="66">
        <v>23850</v>
      </c>
      <c r="AC9" s="67">
        <v>24800</v>
      </c>
      <c r="AE9" s="89"/>
    </row>
    <row r="10" spans="1:31" x14ac:dyDescent="0.3">
      <c r="C10" s="6" t="s">
        <v>138</v>
      </c>
      <c r="D10" s="65">
        <v>36900</v>
      </c>
      <c r="E10" s="66">
        <v>37450</v>
      </c>
      <c r="F10" s="66">
        <v>37650</v>
      </c>
      <c r="G10" s="66">
        <v>37950</v>
      </c>
      <c r="H10" s="66">
        <v>38700</v>
      </c>
      <c r="I10" s="66">
        <v>39475</v>
      </c>
      <c r="J10" s="66">
        <v>40125</v>
      </c>
      <c r="K10" s="66">
        <v>40525</v>
      </c>
      <c r="L10" s="66">
        <v>41775</v>
      </c>
      <c r="M10" s="66">
        <v>44725</v>
      </c>
      <c r="N10" s="66">
        <v>47150</v>
      </c>
      <c r="O10" s="66">
        <v>48475</v>
      </c>
      <c r="P10" s="67">
        <v>50400</v>
      </c>
      <c r="Q10" s="66">
        <v>73800</v>
      </c>
      <c r="R10" s="66">
        <v>74900</v>
      </c>
      <c r="S10" s="66">
        <v>75300</v>
      </c>
      <c r="T10" s="66">
        <v>75900</v>
      </c>
      <c r="U10" s="66">
        <v>77400</v>
      </c>
      <c r="V10" s="66">
        <v>78950</v>
      </c>
      <c r="W10" s="66">
        <v>80250</v>
      </c>
      <c r="X10" s="66">
        <v>81050</v>
      </c>
      <c r="Y10" s="66">
        <v>83550</v>
      </c>
      <c r="Z10" s="66">
        <v>89450</v>
      </c>
      <c r="AA10" s="66">
        <v>94300</v>
      </c>
      <c r="AB10" s="66">
        <v>96950</v>
      </c>
      <c r="AC10" s="67">
        <v>100800</v>
      </c>
      <c r="AE10" s="89"/>
    </row>
    <row r="11" spans="1:31" x14ac:dyDescent="0.3">
      <c r="C11" s="6" t="s">
        <v>139</v>
      </c>
      <c r="D11" s="65">
        <v>89350</v>
      </c>
      <c r="E11" s="66">
        <v>90750</v>
      </c>
      <c r="F11" s="66">
        <v>91150</v>
      </c>
      <c r="G11" s="66">
        <v>91900</v>
      </c>
      <c r="H11" s="66">
        <v>82500</v>
      </c>
      <c r="I11" s="66">
        <v>84200</v>
      </c>
      <c r="J11" s="66">
        <v>85525</v>
      </c>
      <c r="K11" s="66">
        <v>86375</v>
      </c>
      <c r="L11" s="66">
        <v>89075</v>
      </c>
      <c r="M11" s="66">
        <v>95375</v>
      </c>
      <c r="N11" s="66">
        <v>100525</v>
      </c>
      <c r="O11" s="66">
        <v>103350</v>
      </c>
      <c r="P11" s="67">
        <v>105700</v>
      </c>
      <c r="Q11" s="66">
        <v>148850</v>
      </c>
      <c r="R11" s="66">
        <v>151200</v>
      </c>
      <c r="S11" s="66">
        <v>151900</v>
      </c>
      <c r="T11" s="66">
        <v>153100</v>
      </c>
      <c r="U11" s="66">
        <v>165000</v>
      </c>
      <c r="V11" s="66">
        <v>168400</v>
      </c>
      <c r="W11" s="66">
        <v>171050</v>
      </c>
      <c r="X11" s="66">
        <v>172750</v>
      </c>
      <c r="Y11" s="66">
        <v>178150</v>
      </c>
      <c r="Z11" s="66">
        <v>190750</v>
      </c>
      <c r="AA11" s="66">
        <v>201050</v>
      </c>
      <c r="AB11" s="66">
        <v>206700</v>
      </c>
      <c r="AC11" s="67">
        <v>211400</v>
      </c>
      <c r="AE11" s="89"/>
    </row>
    <row r="12" spans="1:31" x14ac:dyDescent="0.3">
      <c r="C12" s="6" t="s">
        <v>143</v>
      </c>
      <c r="D12" s="65">
        <v>186350</v>
      </c>
      <c r="E12" s="66">
        <v>189300</v>
      </c>
      <c r="F12" s="66">
        <v>190150</v>
      </c>
      <c r="G12" s="66">
        <v>191650</v>
      </c>
      <c r="H12" s="66">
        <v>157500</v>
      </c>
      <c r="I12" s="66">
        <v>160725</v>
      </c>
      <c r="J12" s="66">
        <v>163300</v>
      </c>
      <c r="K12" s="66">
        <v>164925</v>
      </c>
      <c r="L12" s="66">
        <v>170050</v>
      </c>
      <c r="M12" s="66">
        <v>182100</v>
      </c>
      <c r="N12" s="66">
        <v>191950</v>
      </c>
      <c r="O12" s="66">
        <v>197300</v>
      </c>
      <c r="P12" s="67">
        <v>201775</v>
      </c>
      <c r="Q12" s="66">
        <v>226850</v>
      </c>
      <c r="R12" s="66">
        <v>230450</v>
      </c>
      <c r="S12" s="66">
        <v>231450</v>
      </c>
      <c r="T12" s="66">
        <v>233350</v>
      </c>
      <c r="U12" s="66">
        <v>315000</v>
      </c>
      <c r="V12" s="66">
        <v>321450</v>
      </c>
      <c r="W12" s="66">
        <v>326600</v>
      </c>
      <c r="X12" s="66">
        <v>329850</v>
      </c>
      <c r="Y12" s="66">
        <v>340100</v>
      </c>
      <c r="Z12" s="66">
        <v>364200</v>
      </c>
      <c r="AA12" s="66">
        <v>383900</v>
      </c>
      <c r="AB12" s="66">
        <v>394600</v>
      </c>
      <c r="AC12" s="67">
        <v>403550</v>
      </c>
      <c r="AE12" s="89"/>
    </row>
    <row r="13" spans="1:31" x14ac:dyDescent="0.3">
      <c r="C13" s="6" t="s">
        <v>146</v>
      </c>
      <c r="D13" s="65">
        <v>405100</v>
      </c>
      <c r="E13" s="66">
        <v>411500</v>
      </c>
      <c r="F13" s="66">
        <v>413350</v>
      </c>
      <c r="G13" s="66">
        <v>416700</v>
      </c>
      <c r="H13" s="66">
        <v>200000</v>
      </c>
      <c r="I13" s="66">
        <v>204100</v>
      </c>
      <c r="J13" s="66">
        <v>207350</v>
      </c>
      <c r="K13" s="66">
        <v>209425</v>
      </c>
      <c r="L13" s="66">
        <v>215950</v>
      </c>
      <c r="M13" s="66">
        <v>231250</v>
      </c>
      <c r="N13" s="66">
        <v>243725</v>
      </c>
      <c r="O13" s="66">
        <v>250525</v>
      </c>
      <c r="P13" s="67">
        <v>256225</v>
      </c>
      <c r="Q13" s="66">
        <v>405100</v>
      </c>
      <c r="R13" s="66">
        <v>411500</v>
      </c>
      <c r="S13" s="66">
        <v>413350</v>
      </c>
      <c r="T13" s="66">
        <v>416700</v>
      </c>
      <c r="U13" s="66">
        <v>400000</v>
      </c>
      <c r="V13" s="66">
        <v>408200</v>
      </c>
      <c r="W13" s="66">
        <v>414700</v>
      </c>
      <c r="X13" s="66">
        <v>418850</v>
      </c>
      <c r="Y13" s="66">
        <v>431900</v>
      </c>
      <c r="Z13" s="66">
        <v>462500</v>
      </c>
      <c r="AA13" s="66">
        <v>487450</v>
      </c>
      <c r="AB13" s="66">
        <v>501050</v>
      </c>
      <c r="AC13" s="67">
        <v>512450</v>
      </c>
      <c r="AE13" s="89"/>
    </row>
    <row r="14" spans="1:31" x14ac:dyDescent="0.3">
      <c r="C14" s="6" t="s">
        <v>147</v>
      </c>
      <c r="D14" s="65">
        <v>406750</v>
      </c>
      <c r="E14" s="66">
        <v>413200</v>
      </c>
      <c r="F14" s="66">
        <v>415050</v>
      </c>
      <c r="G14" s="66">
        <v>418400</v>
      </c>
      <c r="H14" s="66">
        <v>500000</v>
      </c>
      <c r="I14" s="66">
        <v>510300</v>
      </c>
      <c r="J14" s="66">
        <v>518400</v>
      </c>
      <c r="K14" s="66">
        <v>523600</v>
      </c>
      <c r="L14" s="66">
        <v>539900</v>
      </c>
      <c r="M14" s="66">
        <v>578125</v>
      </c>
      <c r="N14" s="66">
        <v>609350</v>
      </c>
      <c r="O14" s="66">
        <v>626350</v>
      </c>
      <c r="P14" s="67">
        <v>640600</v>
      </c>
      <c r="Q14" s="66">
        <v>457600</v>
      </c>
      <c r="R14" s="66">
        <v>464850</v>
      </c>
      <c r="S14" s="66">
        <v>466950</v>
      </c>
      <c r="T14" s="66">
        <v>470700</v>
      </c>
      <c r="U14" s="66">
        <v>600000</v>
      </c>
      <c r="V14" s="66">
        <v>612350</v>
      </c>
      <c r="W14" s="66">
        <v>622050</v>
      </c>
      <c r="X14" s="66">
        <v>628300</v>
      </c>
      <c r="Y14" s="66">
        <v>647850</v>
      </c>
      <c r="Z14" s="66">
        <v>693750</v>
      </c>
      <c r="AA14" s="66">
        <v>731200</v>
      </c>
      <c r="AB14" s="66">
        <v>751600</v>
      </c>
      <c r="AC14" s="67">
        <v>768700</v>
      </c>
      <c r="AE14" s="89"/>
    </row>
    <row r="15" spans="1:31" x14ac:dyDescent="0.3">
      <c r="C15" s="6" t="s">
        <v>140</v>
      </c>
      <c r="D15" s="65">
        <v>0</v>
      </c>
      <c r="E15" s="66">
        <v>0</v>
      </c>
      <c r="F15" s="66">
        <v>0</v>
      </c>
      <c r="G15" s="66">
        <v>0</v>
      </c>
      <c r="H15" s="66">
        <v>0</v>
      </c>
      <c r="I15" s="66">
        <v>0</v>
      </c>
      <c r="J15" s="66">
        <v>0</v>
      </c>
      <c r="K15" s="66">
        <v>0</v>
      </c>
      <c r="L15" s="66">
        <v>0</v>
      </c>
      <c r="M15" s="66">
        <v>0</v>
      </c>
      <c r="N15" s="66">
        <v>0</v>
      </c>
      <c r="O15" s="66">
        <v>0</v>
      </c>
      <c r="P15" s="67">
        <v>0</v>
      </c>
      <c r="Q15" s="66">
        <v>0</v>
      </c>
      <c r="R15" s="66">
        <v>0</v>
      </c>
      <c r="S15" s="66">
        <v>0</v>
      </c>
      <c r="T15" s="66">
        <v>0</v>
      </c>
      <c r="U15" s="66">
        <v>0</v>
      </c>
      <c r="V15" s="66">
        <v>0</v>
      </c>
      <c r="W15" s="66">
        <v>0</v>
      </c>
      <c r="X15" s="66">
        <v>0</v>
      </c>
      <c r="Y15" s="66">
        <v>0</v>
      </c>
      <c r="Z15" s="66">
        <v>0</v>
      </c>
      <c r="AA15" s="66">
        <v>0</v>
      </c>
      <c r="AB15" s="66">
        <v>0</v>
      </c>
      <c r="AC15" s="67">
        <v>0</v>
      </c>
    </row>
    <row r="16" spans="1:31" x14ac:dyDescent="0.3">
      <c r="C16" s="6" t="s">
        <v>141</v>
      </c>
      <c r="D16" s="65">
        <v>36900</v>
      </c>
      <c r="E16" s="66">
        <v>37450</v>
      </c>
      <c r="F16" s="66">
        <v>37650</v>
      </c>
      <c r="G16" s="66">
        <v>37950</v>
      </c>
      <c r="H16" s="66">
        <v>38600</v>
      </c>
      <c r="I16" s="66">
        <v>39375</v>
      </c>
      <c r="J16" s="66">
        <v>40000</v>
      </c>
      <c r="K16" s="66">
        <v>40400</v>
      </c>
      <c r="L16" s="66">
        <v>41675</v>
      </c>
      <c r="M16" s="66">
        <v>44625</v>
      </c>
      <c r="N16" s="66">
        <v>47025</v>
      </c>
      <c r="O16" s="66">
        <v>48350</v>
      </c>
      <c r="P16" s="67">
        <v>49450</v>
      </c>
      <c r="Q16" s="66">
        <v>73800</v>
      </c>
      <c r="R16" s="66">
        <v>74900</v>
      </c>
      <c r="S16" s="66">
        <v>75300</v>
      </c>
      <c r="T16" s="66">
        <v>75900</v>
      </c>
      <c r="U16" s="66">
        <v>77200</v>
      </c>
      <c r="V16" s="66">
        <v>78750</v>
      </c>
      <c r="W16" s="66">
        <v>80000</v>
      </c>
      <c r="X16" s="66">
        <v>80800</v>
      </c>
      <c r="Y16" s="66">
        <v>83350</v>
      </c>
      <c r="Z16" s="66">
        <v>89250</v>
      </c>
      <c r="AA16" s="66">
        <v>94050</v>
      </c>
      <c r="AB16" s="66">
        <v>96700</v>
      </c>
      <c r="AC16" s="67">
        <v>98900</v>
      </c>
    </row>
    <row r="17" spans="1:29" x14ac:dyDescent="0.3">
      <c r="C17" s="6" t="s">
        <v>159</v>
      </c>
      <c r="D17" s="65">
        <v>406750</v>
      </c>
      <c r="E17" s="66">
        <v>413200</v>
      </c>
      <c r="F17" s="66">
        <v>415050</v>
      </c>
      <c r="G17" s="66">
        <v>418400</v>
      </c>
      <c r="H17" s="66">
        <v>425800</v>
      </c>
      <c r="I17" s="66">
        <v>434550</v>
      </c>
      <c r="J17" s="66">
        <v>441450</v>
      </c>
      <c r="K17" s="66">
        <v>445850</v>
      </c>
      <c r="L17" s="66">
        <v>459750</v>
      </c>
      <c r="M17" s="66">
        <v>492300</v>
      </c>
      <c r="N17" s="66">
        <v>518900</v>
      </c>
      <c r="O17" s="66">
        <v>533400</v>
      </c>
      <c r="P17" s="67">
        <v>545500</v>
      </c>
      <c r="Q17" s="66">
        <v>457600</v>
      </c>
      <c r="R17" s="66">
        <v>464850</v>
      </c>
      <c r="S17" s="66">
        <v>466950</v>
      </c>
      <c r="T17" s="66">
        <v>470700</v>
      </c>
      <c r="U17" s="66">
        <v>479000</v>
      </c>
      <c r="V17" s="66">
        <v>488850</v>
      </c>
      <c r="W17" s="66">
        <v>496600</v>
      </c>
      <c r="X17" s="66">
        <v>501600</v>
      </c>
      <c r="Y17" s="66">
        <v>517200</v>
      </c>
      <c r="Z17" s="66">
        <v>553850</v>
      </c>
      <c r="AA17" s="66">
        <v>583750</v>
      </c>
      <c r="AB17" s="66">
        <v>600050</v>
      </c>
      <c r="AC17" s="67">
        <v>613700</v>
      </c>
    </row>
    <row r="18" spans="1:29" x14ac:dyDescent="0.3">
      <c r="C18" s="6" t="s">
        <v>252</v>
      </c>
      <c r="D18" s="65">
        <v>0</v>
      </c>
      <c r="E18" s="66">
        <v>0</v>
      </c>
      <c r="F18" s="66">
        <v>0</v>
      </c>
      <c r="G18" s="66">
        <v>0</v>
      </c>
      <c r="H18" s="66">
        <v>0</v>
      </c>
      <c r="I18" s="66">
        <v>0</v>
      </c>
      <c r="J18" s="66">
        <v>0</v>
      </c>
      <c r="K18" s="66">
        <v>0</v>
      </c>
      <c r="L18" s="66">
        <v>0</v>
      </c>
      <c r="M18" s="66">
        <v>0</v>
      </c>
      <c r="N18" s="66">
        <v>0</v>
      </c>
      <c r="O18" s="66">
        <v>6000</v>
      </c>
      <c r="P18" s="67">
        <v>6000</v>
      </c>
      <c r="Q18" s="66">
        <v>0</v>
      </c>
      <c r="R18" s="66">
        <v>0</v>
      </c>
      <c r="S18" s="66">
        <v>0</v>
      </c>
      <c r="T18" s="66">
        <v>0</v>
      </c>
      <c r="U18" s="66">
        <v>0</v>
      </c>
      <c r="V18" s="66">
        <v>0</v>
      </c>
      <c r="W18" s="66">
        <v>0</v>
      </c>
      <c r="X18" s="66">
        <v>0</v>
      </c>
      <c r="Y18" s="66">
        <v>0</v>
      </c>
      <c r="Z18" s="66">
        <v>0</v>
      </c>
      <c r="AA18" s="66">
        <v>0</v>
      </c>
      <c r="AB18" s="66">
        <v>6000</v>
      </c>
      <c r="AC18" s="67">
        <v>6000</v>
      </c>
    </row>
    <row r="19" spans="1:29" x14ac:dyDescent="0.3">
      <c r="C19" s="6" t="s">
        <v>253</v>
      </c>
      <c r="D19" s="65">
        <v>0</v>
      </c>
      <c r="E19" s="66">
        <v>0</v>
      </c>
      <c r="F19" s="66">
        <v>0</v>
      </c>
      <c r="G19" s="66">
        <v>0</v>
      </c>
      <c r="H19" s="66">
        <v>0</v>
      </c>
      <c r="I19" s="66">
        <v>0</v>
      </c>
      <c r="J19" s="66">
        <v>0</v>
      </c>
      <c r="K19" s="66">
        <v>0</v>
      </c>
      <c r="L19" s="66">
        <v>0</v>
      </c>
      <c r="M19" s="66">
        <v>0</v>
      </c>
      <c r="N19" s="66">
        <v>0</v>
      </c>
      <c r="O19" s="66">
        <v>75000</v>
      </c>
      <c r="P19" s="67">
        <v>75000</v>
      </c>
      <c r="Q19" s="66">
        <v>0</v>
      </c>
      <c r="R19" s="66">
        <v>0</v>
      </c>
      <c r="S19" s="66">
        <v>0</v>
      </c>
      <c r="T19" s="66">
        <v>0</v>
      </c>
      <c r="U19" s="66">
        <v>0</v>
      </c>
      <c r="V19" s="66">
        <v>0</v>
      </c>
      <c r="W19" s="66">
        <v>0</v>
      </c>
      <c r="X19" s="66">
        <v>0</v>
      </c>
      <c r="Y19" s="66">
        <v>0</v>
      </c>
      <c r="Z19" s="66">
        <v>0</v>
      </c>
      <c r="AA19" s="66">
        <v>0</v>
      </c>
      <c r="AB19" s="66">
        <v>150000</v>
      </c>
      <c r="AC19" s="67">
        <v>150000</v>
      </c>
    </row>
    <row r="20" spans="1:29" x14ac:dyDescent="0.3">
      <c r="C20" s="6" t="s">
        <v>254</v>
      </c>
      <c r="D20" s="68">
        <v>0</v>
      </c>
      <c r="E20" s="69">
        <v>0</v>
      </c>
      <c r="F20" s="69">
        <v>0</v>
      </c>
      <c r="G20" s="69">
        <v>0</v>
      </c>
      <c r="H20" s="69">
        <v>0</v>
      </c>
      <c r="I20" s="69">
        <v>0</v>
      </c>
      <c r="J20" s="69">
        <v>0</v>
      </c>
      <c r="K20" s="69">
        <v>0</v>
      </c>
      <c r="L20" s="69">
        <v>0</v>
      </c>
      <c r="M20" s="69">
        <v>0</v>
      </c>
      <c r="N20" s="69">
        <v>0</v>
      </c>
      <c r="O20" s="69">
        <v>175000</v>
      </c>
      <c r="P20" s="70">
        <v>175000</v>
      </c>
      <c r="Q20" s="69">
        <v>0</v>
      </c>
      <c r="R20" s="69">
        <v>0</v>
      </c>
      <c r="S20" s="69">
        <v>0</v>
      </c>
      <c r="T20" s="69">
        <v>0</v>
      </c>
      <c r="U20" s="69">
        <v>0</v>
      </c>
      <c r="V20" s="69">
        <v>0</v>
      </c>
      <c r="W20" s="69">
        <v>0</v>
      </c>
      <c r="X20" s="69">
        <v>0</v>
      </c>
      <c r="Y20" s="69">
        <v>0</v>
      </c>
      <c r="Z20" s="69">
        <v>0</v>
      </c>
      <c r="AA20" s="69">
        <v>0</v>
      </c>
      <c r="AB20" s="69">
        <v>250000</v>
      </c>
      <c r="AC20" s="70">
        <v>250000</v>
      </c>
    </row>
    <row r="21" spans="1:29" x14ac:dyDescent="0.3">
      <c r="I21" s="33"/>
      <c r="J21" s="33"/>
      <c r="K21" s="33"/>
      <c r="L21" s="33"/>
      <c r="M21" s="33"/>
      <c r="N21" s="33"/>
      <c r="O21" s="33"/>
      <c r="P21" s="33"/>
    </row>
    <row r="22" spans="1:29" x14ac:dyDescent="0.3">
      <c r="A22" s="20" t="s">
        <v>171</v>
      </c>
      <c r="I22" s="33"/>
      <c r="J22" s="33"/>
      <c r="K22" s="33"/>
      <c r="L22" s="33"/>
      <c r="M22" s="33"/>
      <c r="N22" s="33"/>
      <c r="O22" s="33"/>
      <c r="P22" s="33"/>
    </row>
    <row r="23" spans="1:29" x14ac:dyDescent="0.3">
      <c r="C23" s="71"/>
      <c r="D23" s="114">
        <v>2014</v>
      </c>
      <c r="E23" s="115">
        <v>2015</v>
      </c>
      <c r="F23" s="115">
        <v>2016</v>
      </c>
      <c r="G23" s="115">
        <v>2017</v>
      </c>
      <c r="H23" s="115">
        <v>2018</v>
      </c>
      <c r="I23" s="115">
        <v>2019</v>
      </c>
      <c r="J23" s="115">
        <v>2020</v>
      </c>
      <c r="K23" s="115">
        <v>2021</v>
      </c>
      <c r="L23" s="115">
        <v>2022</v>
      </c>
      <c r="M23" s="115">
        <v>2023</v>
      </c>
      <c r="N23" s="115">
        <v>2024</v>
      </c>
      <c r="O23" s="115">
        <v>2025</v>
      </c>
      <c r="P23" s="116">
        <v>2026</v>
      </c>
    </row>
    <row r="24" spans="1:29" x14ac:dyDescent="0.3">
      <c r="C24" s="6" t="s">
        <v>124</v>
      </c>
      <c r="D24" s="76">
        <v>0.1</v>
      </c>
      <c r="E24" s="77">
        <v>0.1</v>
      </c>
      <c r="F24" s="77">
        <v>0.1</v>
      </c>
      <c r="G24" s="77">
        <v>0.1</v>
      </c>
      <c r="H24" s="77">
        <v>0.1</v>
      </c>
      <c r="I24" s="77">
        <v>0.1</v>
      </c>
      <c r="J24" s="77">
        <v>0.1</v>
      </c>
      <c r="K24" s="77">
        <v>0.1</v>
      </c>
      <c r="L24" s="77">
        <v>0.1</v>
      </c>
      <c r="M24" s="77">
        <v>0.1</v>
      </c>
      <c r="N24" s="77">
        <v>0.1</v>
      </c>
      <c r="O24" s="77">
        <v>0.1</v>
      </c>
      <c r="P24" s="78">
        <v>0.1</v>
      </c>
    </row>
    <row r="25" spans="1:29" x14ac:dyDescent="0.3">
      <c r="C25" s="6" t="s">
        <v>125</v>
      </c>
      <c r="D25" s="76">
        <v>0.15</v>
      </c>
      <c r="E25" s="77">
        <v>0.15</v>
      </c>
      <c r="F25" s="77">
        <v>0.15</v>
      </c>
      <c r="G25" s="77">
        <v>0.15</v>
      </c>
      <c r="H25" s="77">
        <v>0.12</v>
      </c>
      <c r="I25" s="77">
        <v>0.12</v>
      </c>
      <c r="J25" s="77">
        <v>0.12</v>
      </c>
      <c r="K25" s="77">
        <v>0.12</v>
      </c>
      <c r="L25" s="77">
        <v>0.12</v>
      </c>
      <c r="M25" s="77">
        <v>0.12</v>
      </c>
      <c r="N25" s="77">
        <v>0.12</v>
      </c>
      <c r="O25" s="77">
        <v>0.12</v>
      </c>
      <c r="P25" s="78">
        <v>0.12</v>
      </c>
    </row>
    <row r="26" spans="1:29" x14ac:dyDescent="0.3">
      <c r="C26" s="6" t="s">
        <v>126</v>
      </c>
      <c r="D26" s="76">
        <v>0.25</v>
      </c>
      <c r="E26" s="77">
        <v>0.25</v>
      </c>
      <c r="F26" s="77">
        <v>0.25</v>
      </c>
      <c r="G26" s="77">
        <v>0.25</v>
      </c>
      <c r="H26" s="77">
        <v>0.22</v>
      </c>
      <c r="I26" s="77">
        <v>0.22</v>
      </c>
      <c r="J26" s="77">
        <v>0.22</v>
      </c>
      <c r="K26" s="77">
        <v>0.22</v>
      </c>
      <c r="L26" s="77">
        <v>0.22</v>
      </c>
      <c r="M26" s="77">
        <v>0.22</v>
      </c>
      <c r="N26" s="77">
        <v>0.22</v>
      </c>
      <c r="O26" s="77">
        <v>0.22</v>
      </c>
      <c r="P26" s="78">
        <v>0.22</v>
      </c>
    </row>
    <row r="27" spans="1:29" x14ac:dyDescent="0.3">
      <c r="C27" s="6" t="s">
        <v>127</v>
      </c>
      <c r="D27" s="76">
        <v>0.28000000000000003</v>
      </c>
      <c r="E27" s="77">
        <v>0.28000000000000003</v>
      </c>
      <c r="F27" s="77">
        <v>0.28000000000000003</v>
      </c>
      <c r="G27" s="77">
        <v>0.28000000000000003</v>
      </c>
      <c r="H27" s="77">
        <v>0.24</v>
      </c>
      <c r="I27" s="77">
        <v>0.24</v>
      </c>
      <c r="J27" s="77">
        <v>0.24</v>
      </c>
      <c r="K27" s="77">
        <v>0.24</v>
      </c>
      <c r="L27" s="77">
        <v>0.24</v>
      </c>
      <c r="M27" s="77">
        <v>0.24</v>
      </c>
      <c r="N27" s="77">
        <v>0.24</v>
      </c>
      <c r="O27" s="77">
        <v>0.24</v>
      </c>
      <c r="P27" s="78">
        <v>0.24</v>
      </c>
    </row>
    <row r="28" spans="1:29" x14ac:dyDescent="0.3">
      <c r="C28" s="6" t="s">
        <v>142</v>
      </c>
      <c r="D28" s="76">
        <v>0.33</v>
      </c>
      <c r="E28" s="77">
        <v>0.33</v>
      </c>
      <c r="F28" s="77">
        <v>0.33</v>
      </c>
      <c r="G28" s="77">
        <v>0.33</v>
      </c>
      <c r="H28" s="77">
        <v>0.32</v>
      </c>
      <c r="I28" s="77">
        <v>0.32</v>
      </c>
      <c r="J28" s="77">
        <v>0.32</v>
      </c>
      <c r="K28" s="77">
        <v>0.32</v>
      </c>
      <c r="L28" s="77">
        <v>0.32</v>
      </c>
      <c r="M28" s="77">
        <v>0.32</v>
      </c>
      <c r="N28" s="77">
        <v>0.32</v>
      </c>
      <c r="O28" s="77">
        <v>0.32</v>
      </c>
      <c r="P28" s="78">
        <v>0.32</v>
      </c>
    </row>
    <row r="29" spans="1:29" x14ac:dyDescent="0.3">
      <c r="C29" s="6" t="s">
        <v>144</v>
      </c>
      <c r="D29" s="76">
        <v>0.35</v>
      </c>
      <c r="E29" s="77">
        <v>0.35</v>
      </c>
      <c r="F29" s="77">
        <v>0.35</v>
      </c>
      <c r="G29" s="77">
        <v>0.35</v>
      </c>
      <c r="H29" s="77">
        <v>0.35</v>
      </c>
      <c r="I29" s="77">
        <v>0.35</v>
      </c>
      <c r="J29" s="77">
        <v>0.35</v>
      </c>
      <c r="K29" s="77">
        <v>0.35</v>
      </c>
      <c r="L29" s="77">
        <v>0.35</v>
      </c>
      <c r="M29" s="77">
        <v>0.35</v>
      </c>
      <c r="N29" s="77">
        <v>0.35</v>
      </c>
      <c r="O29" s="77">
        <v>0.35</v>
      </c>
      <c r="P29" s="78">
        <v>0.35</v>
      </c>
    </row>
    <row r="30" spans="1:29" x14ac:dyDescent="0.3">
      <c r="C30" s="6" t="s">
        <v>145</v>
      </c>
      <c r="D30" s="76">
        <v>0.39600000000000002</v>
      </c>
      <c r="E30" s="77">
        <v>0.39600000000000002</v>
      </c>
      <c r="F30" s="77">
        <v>0.39600000000000002</v>
      </c>
      <c r="G30" s="77">
        <v>0.39600000000000002</v>
      </c>
      <c r="H30" s="77">
        <v>0.37</v>
      </c>
      <c r="I30" s="77">
        <v>0.37</v>
      </c>
      <c r="J30" s="77">
        <v>0.37</v>
      </c>
      <c r="K30" s="77">
        <v>0.37</v>
      </c>
      <c r="L30" s="77">
        <v>0.37</v>
      </c>
      <c r="M30" s="77">
        <v>0.37</v>
      </c>
      <c r="N30" s="77">
        <v>0.37</v>
      </c>
      <c r="O30" s="77">
        <v>0.37</v>
      </c>
      <c r="P30" s="78">
        <v>0.37</v>
      </c>
    </row>
    <row r="31" spans="1:29" x14ac:dyDescent="0.3">
      <c r="C31" s="6" t="s">
        <v>128</v>
      </c>
      <c r="D31" s="76">
        <v>0</v>
      </c>
      <c r="E31" s="77">
        <v>0</v>
      </c>
      <c r="F31" s="77">
        <v>0</v>
      </c>
      <c r="G31" s="77">
        <v>0</v>
      </c>
      <c r="H31" s="77">
        <v>0</v>
      </c>
      <c r="I31" s="77">
        <v>0</v>
      </c>
      <c r="J31" s="77">
        <v>0</v>
      </c>
      <c r="K31" s="77">
        <v>0</v>
      </c>
      <c r="L31" s="77">
        <v>0</v>
      </c>
      <c r="M31" s="77">
        <v>0</v>
      </c>
      <c r="N31" s="77">
        <v>0</v>
      </c>
      <c r="O31" s="77">
        <v>0</v>
      </c>
      <c r="P31" s="78">
        <v>0</v>
      </c>
    </row>
    <row r="32" spans="1:29" x14ac:dyDescent="0.3">
      <c r="C32" s="6" t="s">
        <v>129</v>
      </c>
      <c r="D32" s="76">
        <v>0.15</v>
      </c>
      <c r="E32" s="77">
        <v>0.15</v>
      </c>
      <c r="F32" s="77">
        <v>0.15</v>
      </c>
      <c r="G32" s="77">
        <v>0.15</v>
      </c>
      <c r="H32" s="77">
        <v>0.15</v>
      </c>
      <c r="I32" s="77">
        <v>0.15</v>
      </c>
      <c r="J32" s="77">
        <v>0.15</v>
      </c>
      <c r="K32" s="77">
        <v>0.15</v>
      </c>
      <c r="L32" s="77">
        <v>0.15</v>
      </c>
      <c r="M32" s="77">
        <v>0.15</v>
      </c>
      <c r="N32" s="77">
        <v>0.15</v>
      </c>
      <c r="O32" s="77">
        <v>0.15</v>
      </c>
      <c r="P32" s="78">
        <v>0.15</v>
      </c>
    </row>
    <row r="33" spans="1:30" x14ac:dyDescent="0.3">
      <c r="C33" s="6" t="s">
        <v>160</v>
      </c>
      <c r="D33" s="79">
        <v>0.2</v>
      </c>
      <c r="E33" s="80">
        <v>0.2</v>
      </c>
      <c r="F33" s="80">
        <v>0.2</v>
      </c>
      <c r="G33" s="80">
        <v>0.2</v>
      </c>
      <c r="H33" s="80">
        <v>0.2</v>
      </c>
      <c r="I33" s="80">
        <v>0.2</v>
      </c>
      <c r="J33" s="80">
        <v>0.2</v>
      </c>
      <c r="K33" s="80">
        <v>0.2</v>
      </c>
      <c r="L33" s="80">
        <v>0.2</v>
      </c>
      <c r="M33" s="80">
        <v>0.2</v>
      </c>
      <c r="N33" s="80">
        <v>0.2</v>
      </c>
      <c r="O33" s="80">
        <v>0.2</v>
      </c>
      <c r="P33" s="81">
        <v>0.2</v>
      </c>
    </row>
    <row r="34" spans="1:30" x14ac:dyDescent="0.3">
      <c r="B34" s="6"/>
      <c r="C34" s="5"/>
    </row>
    <row r="35" spans="1:30" x14ac:dyDescent="0.3">
      <c r="A35" s="20" t="s">
        <v>181</v>
      </c>
      <c r="B35" s="6"/>
      <c r="C35" s="5"/>
      <c r="D35" s="15" t="str">
        <f>H43</f>
        <v>0.1*B33+0.02*MAX(0,B33-12400)+0.1*MAX(0,B33-50400)+0.02*MAX(0,B33-105700)+0.08*MAX(0,B33-201775)+0.03*MAX(0,B33-256225)+0.02*MAX(0,B33-640600)</v>
      </c>
      <c r="E35" s="15"/>
      <c r="F35" s="15"/>
      <c r="G35" s="15"/>
      <c r="H35" s="15"/>
      <c r="I35" s="15"/>
      <c r="J35" s="85"/>
      <c r="K35" s="85"/>
      <c r="L35" s="85"/>
      <c r="M35" s="85"/>
      <c r="N35" s="85"/>
      <c r="O35" s="85"/>
      <c r="P35" s="85"/>
      <c r="Q35" s="85"/>
      <c r="R35" s="85"/>
      <c r="S35" s="85"/>
      <c r="T35" s="85"/>
      <c r="U35" s="85"/>
      <c r="V35" s="85"/>
      <c r="W35" s="85"/>
      <c r="X35" s="85"/>
      <c r="Y35" s="85"/>
      <c r="Z35" s="85"/>
      <c r="AA35" s="85"/>
      <c r="AB35" s="85"/>
      <c r="AC35" s="85"/>
      <c r="AD35" s="85"/>
    </row>
    <row r="36" spans="1:30" x14ac:dyDescent="0.3">
      <c r="B36" s="6"/>
      <c r="C36" s="5"/>
      <c r="D36" s="6" t="s">
        <v>182</v>
      </c>
      <c r="E36" s="6" t="s">
        <v>183</v>
      </c>
      <c r="F36" s="6" t="s">
        <v>184</v>
      </c>
      <c r="G36" s="6" t="s">
        <v>185</v>
      </c>
      <c r="H36" s="3" t="s">
        <v>187</v>
      </c>
    </row>
    <row r="37" spans="1:30" x14ac:dyDescent="0.3">
      <c r="B37" s="86" t="s">
        <v>172</v>
      </c>
      <c r="C37" s="87">
        <v>2026</v>
      </c>
      <c r="D37" s="3">
        <v>1</v>
      </c>
      <c r="E37" s="18">
        <f t="shared" ref="E37:E43" si="2">HLOOKUP($C$38&amp;$C$37,combo_tbl,D37+7,FALSE)</f>
        <v>0</v>
      </c>
      <c r="F37" s="84">
        <f>HLOOKUP($C$37,rate_tbl,D37+1,FALSE)</f>
        <v>0.1</v>
      </c>
      <c r="G37" s="7">
        <f>F37</f>
        <v>0.1</v>
      </c>
      <c r="H37" s="3" t="str">
        <f>G37&amp;"*"&amp;C$39</f>
        <v>0.1*B33</v>
      </c>
    </row>
    <row r="38" spans="1:30" x14ac:dyDescent="0.3">
      <c r="B38" s="86" t="s">
        <v>255</v>
      </c>
      <c r="C38" s="87">
        <v>1</v>
      </c>
      <c r="D38" s="3">
        <v>2</v>
      </c>
      <c r="E38" s="18">
        <f>HLOOKUP($C$38&amp;$C$37,combo_tbl,D38+7,FALSE)</f>
        <v>12400</v>
      </c>
      <c r="F38" s="84">
        <f t="shared" ref="F38:F43" si="3">HLOOKUP($C$37,rate_tbl,D38+1,FALSE)</f>
        <v>0.12</v>
      </c>
      <c r="G38" s="7">
        <f>F38-F37</f>
        <v>1.999999999999999E-2</v>
      </c>
      <c r="H38" s="3" t="str">
        <f>H37&amp;"+"&amp;G38&amp;"*MAX(0,"&amp;C$39&amp;"-"&amp;E38&amp;")"</f>
        <v>0.1*B33+0.02*MAX(0,B33-12400)</v>
      </c>
    </row>
    <row r="39" spans="1:30" x14ac:dyDescent="0.3">
      <c r="B39" s="86" t="s">
        <v>186</v>
      </c>
      <c r="C39" s="88" t="s">
        <v>283</v>
      </c>
      <c r="D39" s="3">
        <v>3</v>
      </c>
      <c r="E39" s="18">
        <f t="shared" si="2"/>
        <v>50400</v>
      </c>
      <c r="F39" s="84">
        <f t="shared" si="3"/>
        <v>0.22</v>
      </c>
      <c r="G39" s="7">
        <f t="shared" ref="G39:G43" si="4">F39-F38</f>
        <v>0.1</v>
      </c>
      <c r="H39" s="3" t="str">
        <f>H38&amp;"+"&amp;G39&amp;"*MAX(0,"&amp;C$39&amp;"-"&amp;E39&amp;")"</f>
        <v>0.1*B33+0.02*MAX(0,B33-12400)+0.1*MAX(0,B33-50400)</v>
      </c>
    </row>
    <row r="40" spans="1:30" x14ac:dyDescent="0.3">
      <c r="B40" s="6"/>
      <c r="C40" s="5"/>
      <c r="D40" s="3">
        <v>4</v>
      </c>
      <c r="E40" s="18">
        <f t="shared" si="2"/>
        <v>105700</v>
      </c>
      <c r="F40" s="84">
        <f t="shared" si="3"/>
        <v>0.24</v>
      </c>
      <c r="G40" s="7">
        <f t="shared" si="4"/>
        <v>1.999999999999999E-2</v>
      </c>
      <c r="H40" s="3" t="str">
        <f t="shared" ref="H40:H43" si="5">H39&amp;"+"&amp;G40&amp;"*MAX(0,"&amp;C$39&amp;"-"&amp;E40&amp;")"</f>
        <v>0.1*B33+0.02*MAX(0,B33-12400)+0.1*MAX(0,B33-50400)+0.02*MAX(0,B33-105700)</v>
      </c>
    </row>
    <row r="41" spans="1:30" x14ac:dyDescent="0.3">
      <c r="D41" s="3">
        <v>5</v>
      </c>
      <c r="E41" s="18">
        <f t="shared" si="2"/>
        <v>201775</v>
      </c>
      <c r="F41" s="84">
        <f t="shared" si="3"/>
        <v>0.32</v>
      </c>
      <c r="G41" s="7">
        <f t="shared" si="4"/>
        <v>8.0000000000000016E-2</v>
      </c>
      <c r="H41" s="3" t="str">
        <f t="shared" si="5"/>
        <v>0.1*B33+0.02*MAX(0,B33-12400)+0.1*MAX(0,B33-50400)+0.02*MAX(0,B33-105700)+0.08*MAX(0,B33-201775)</v>
      </c>
    </row>
    <row r="42" spans="1:30" x14ac:dyDescent="0.3">
      <c r="D42" s="3">
        <v>6</v>
      </c>
      <c r="E42" s="18">
        <f t="shared" si="2"/>
        <v>256225</v>
      </c>
      <c r="F42" s="84">
        <f t="shared" si="3"/>
        <v>0.35</v>
      </c>
      <c r="G42" s="7">
        <f t="shared" si="4"/>
        <v>2.9999999999999971E-2</v>
      </c>
      <c r="H42" s="3" t="str">
        <f t="shared" si="5"/>
        <v>0.1*B33+0.02*MAX(0,B33-12400)+0.1*MAX(0,B33-50400)+0.02*MAX(0,B33-105700)+0.08*MAX(0,B33-201775)+0.03*MAX(0,B33-256225)</v>
      </c>
    </row>
    <row r="43" spans="1:30" x14ac:dyDescent="0.3">
      <c r="D43" s="3">
        <v>7</v>
      </c>
      <c r="E43" s="18">
        <f t="shared" si="2"/>
        <v>640600</v>
      </c>
      <c r="F43" s="84">
        <f t="shared" si="3"/>
        <v>0.37</v>
      </c>
      <c r="G43" s="7">
        <f t="shared" si="4"/>
        <v>2.0000000000000018E-2</v>
      </c>
      <c r="H43" s="3" t="str">
        <f t="shared" si="5"/>
        <v>0.1*B33+0.02*MAX(0,B33-12400)+0.1*MAX(0,B33-50400)+0.02*MAX(0,B33-105700)+0.08*MAX(0,B33-201775)+0.03*MAX(0,B33-256225)+0.02*MAX(0,B33-640600)</v>
      </c>
    </row>
  </sheetData>
  <sheetProtection formatCells="0" formatColumns="0" formatRows="0"/>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3"/>
  <sheetViews>
    <sheetView workbookViewId="0">
      <selection activeCell="I78" sqref="I78"/>
    </sheetView>
  </sheetViews>
  <sheetFormatPr defaultColWidth="8.765625" defaultRowHeight="13.5" x14ac:dyDescent="0.3"/>
  <cols>
    <col min="1" max="1" width="4.61328125" style="20" customWidth="1"/>
    <col min="2" max="3" width="4.61328125" customWidth="1"/>
  </cols>
  <sheetData>
    <row r="1" spans="1:3" x14ac:dyDescent="0.3">
      <c r="A1" s="20" t="s">
        <v>49</v>
      </c>
    </row>
    <row r="9" spans="1:3" ht="14.5" x14ac:dyDescent="0.35">
      <c r="B9" s="21" t="s">
        <v>111</v>
      </c>
    </row>
    <row r="10" spans="1:3" ht="14.5" x14ac:dyDescent="0.35">
      <c r="B10" s="21"/>
      <c r="C10" t="s">
        <v>112</v>
      </c>
    </row>
    <row r="11" spans="1:3" x14ac:dyDescent="0.3">
      <c r="C11" t="s">
        <v>51</v>
      </c>
    </row>
    <row r="12" spans="1:3" x14ac:dyDescent="0.3">
      <c r="C12" t="s">
        <v>52</v>
      </c>
    </row>
    <row r="13" spans="1:3" x14ac:dyDescent="0.3">
      <c r="C13" t="s">
        <v>53</v>
      </c>
    </row>
    <row r="15" spans="1:3" x14ac:dyDescent="0.3">
      <c r="A15" s="20" t="s">
        <v>58</v>
      </c>
    </row>
    <row r="16" spans="1:3" x14ac:dyDescent="0.3">
      <c r="B16" t="s">
        <v>62</v>
      </c>
    </row>
    <row r="17" spans="1:4" x14ac:dyDescent="0.3">
      <c r="C17" t="s">
        <v>114</v>
      </c>
    </row>
    <row r="18" spans="1:4" x14ac:dyDescent="0.3">
      <c r="D18" t="s">
        <v>113</v>
      </c>
    </row>
    <row r="19" spans="1:4" x14ac:dyDescent="0.3">
      <c r="C19" t="s">
        <v>59</v>
      </c>
    </row>
    <row r="20" spans="1:4" x14ac:dyDescent="0.3">
      <c r="D20" t="s">
        <v>297</v>
      </c>
    </row>
    <row r="21" spans="1:4" x14ac:dyDescent="0.3">
      <c r="C21" t="s">
        <v>60</v>
      </c>
    </row>
    <row r="22" spans="1:4" x14ac:dyDescent="0.3">
      <c r="D22" t="s">
        <v>115</v>
      </c>
    </row>
    <row r="23" spans="1:4" x14ac:dyDescent="0.3">
      <c r="C23" t="s">
        <v>61</v>
      </c>
    </row>
    <row r="24" spans="1:4" ht="15" customHeight="1" x14ac:dyDescent="0.3">
      <c r="D24" t="s">
        <v>116</v>
      </c>
    </row>
    <row r="26" spans="1:4" x14ac:dyDescent="0.3">
      <c r="A26" s="20" t="s">
        <v>54</v>
      </c>
    </row>
    <row r="27" spans="1:4" x14ac:dyDescent="0.3">
      <c r="B27" t="s">
        <v>75</v>
      </c>
    </row>
    <row r="28" spans="1:4" x14ac:dyDescent="0.3">
      <c r="B28" t="s">
        <v>117</v>
      </c>
    </row>
    <row r="29" spans="1:4" x14ac:dyDescent="0.3">
      <c r="C29" t="s">
        <v>55</v>
      </c>
    </row>
    <row r="30" spans="1:4" x14ac:dyDescent="0.3">
      <c r="C30" t="s">
        <v>118</v>
      </c>
    </row>
    <row r="31" spans="1:4" x14ac:dyDescent="0.3">
      <c r="B31" t="s">
        <v>76</v>
      </c>
    </row>
    <row r="32" spans="1:4" x14ac:dyDescent="0.3">
      <c r="C32" t="s">
        <v>56</v>
      </c>
    </row>
    <row r="34" spans="1:3" x14ac:dyDescent="0.3">
      <c r="A34" s="20" t="s">
        <v>57</v>
      </c>
    </row>
    <row r="35" spans="1:3" x14ac:dyDescent="0.3">
      <c r="B35" t="s">
        <v>79</v>
      </c>
    </row>
    <row r="36" spans="1:3" x14ac:dyDescent="0.3">
      <c r="C36" t="s">
        <v>286</v>
      </c>
    </row>
    <row r="38" spans="1:3" x14ac:dyDescent="0.3">
      <c r="A38" s="20" t="s">
        <v>102</v>
      </c>
    </row>
    <row r="39" spans="1:3" x14ac:dyDescent="0.3">
      <c r="B39" t="s">
        <v>103</v>
      </c>
    </row>
    <row r="40" spans="1:3" x14ac:dyDescent="0.3">
      <c r="B40" t="s">
        <v>287</v>
      </c>
    </row>
    <row r="41" spans="1:3" x14ac:dyDescent="0.3">
      <c r="C41" s="19" t="s">
        <v>50</v>
      </c>
    </row>
    <row r="42" spans="1:3" x14ac:dyDescent="0.3">
      <c r="C42" t="s">
        <v>288</v>
      </c>
    </row>
    <row r="43" spans="1:3" x14ac:dyDescent="0.3">
      <c r="C43" t="s">
        <v>104</v>
      </c>
    </row>
    <row r="44" spans="1:3" x14ac:dyDescent="0.3">
      <c r="B44" t="s">
        <v>105</v>
      </c>
    </row>
    <row r="45" spans="1:3" x14ac:dyDescent="0.3">
      <c r="B45" t="s">
        <v>106</v>
      </c>
    </row>
    <row r="46" spans="1:3" x14ac:dyDescent="0.3">
      <c r="B46" t="s">
        <v>298</v>
      </c>
    </row>
    <row r="47" spans="1:3" x14ac:dyDescent="0.3">
      <c r="C47" t="s">
        <v>289</v>
      </c>
    </row>
    <row r="48" spans="1:3" x14ac:dyDescent="0.3">
      <c r="C48" t="s">
        <v>290</v>
      </c>
    </row>
    <row r="49" spans="1:4" x14ac:dyDescent="0.3">
      <c r="C49" t="s">
        <v>299</v>
      </c>
    </row>
    <row r="51" spans="1:4" x14ac:dyDescent="0.3">
      <c r="A51" s="20" t="s">
        <v>216</v>
      </c>
    </row>
    <row r="52" spans="1:4" x14ac:dyDescent="0.3">
      <c r="B52" t="s">
        <v>217</v>
      </c>
    </row>
    <row r="53" spans="1:4" x14ac:dyDescent="0.3">
      <c r="D53" s="19" t="s">
        <v>50</v>
      </c>
    </row>
    <row r="55" spans="1:4" x14ac:dyDescent="0.3">
      <c r="A55" s="20" t="s">
        <v>77</v>
      </c>
    </row>
    <row r="56" spans="1:4" x14ac:dyDescent="0.3">
      <c r="B56" t="s">
        <v>281</v>
      </c>
    </row>
    <row r="57" spans="1:4" x14ac:dyDescent="0.3">
      <c r="C57" t="s">
        <v>168</v>
      </c>
    </row>
    <row r="58" spans="1:4" x14ac:dyDescent="0.3">
      <c r="C58" t="s">
        <v>78</v>
      </c>
    </row>
    <row r="59" spans="1:4" x14ac:dyDescent="0.3">
      <c r="B59" t="s">
        <v>282</v>
      </c>
    </row>
    <row r="60" spans="1:4" x14ac:dyDescent="0.3">
      <c r="C60" t="s">
        <v>284</v>
      </c>
    </row>
    <row r="61" spans="1:4" x14ac:dyDescent="0.3">
      <c r="C61" t="s">
        <v>188</v>
      </c>
    </row>
    <row r="63" spans="1:4" x14ac:dyDescent="0.3">
      <c r="A63" s="20" t="s">
        <v>68</v>
      </c>
    </row>
    <row r="71" spans="2:3" x14ac:dyDescent="0.3">
      <c r="B71" t="s">
        <v>69</v>
      </c>
    </row>
    <row r="72" spans="2:3" x14ac:dyDescent="0.3">
      <c r="C72" s="19" t="s">
        <v>169</v>
      </c>
    </row>
    <row r="73" spans="2:3" x14ac:dyDescent="0.3">
      <c r="C73" t="s">
        <v>170</v>
      </c>
    </row>
  </sheetData>
  <hyperlinks>
    <hyperlink ref="C41" r:id="rId1" location="Examples" xr:uid="{00000000-0004-0000-0400-000001000000}"/>
    <hyperlink ref="C72" r:id="rId2" xr:uid="{98122E72-8E20-426F-91F2-74763AE0A580}"/>
    <hyperlink ref="D53" r:id="rId3" location="Examples" xr:uid="{08762DE8-7B06-4AAA-8453-C10E4FB25684}"/>
  </hyperlinks>
  <pageMargins left="0.7" right="0.7" top="0.75" bottom="0.75" header="0.3" footer="0.3"/>
  <pageSetup orientation="portrait"/>
  <drawing r:id="rId4"/>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66"/>
  <sheetViews>
    <sheetView topLeftCell="A27" workbookViewId="0">
      <selection activeCell="D67" sqref="D67"/>
    </sheetView>
  </sheetViews>
  <sheetFormatPr defaultColWidth="8.765625" defaultRowHeight="13.5" x14ac:dyDescent="0.3"/>
  <cols>
    <col min="1" max="1" width="9.3828125" style="1" bestFit="1" customWidth="1"/>
    <col min="2" max="2" width="4.61328125" customWidth="1"/>
    <col min="3" max="3" width="7.3828125" customWidth="1"/>
  </cols>
  <sheetData>
    <row r="1" spans="1:4" x14ac:dyDescent="0.3">
      <c r="A1" s="1">
        <v>42282</v>
      </c>
      <c r="B1" t="s">
        <v>38</v>
      </c>
    </row>
    <row r="2" spans="1:4" x14ac:dyDescent="0.3">
      <c r="B2" t="s">
        <v>39</v>
      </c>
    </row>
    <row r="3" spans="1:4" x14ac:dyDescent="0.3">
      <c r="C3" t="s">
        <v>34</v>
      </c>
      <c r="D3" s="19" t="s">
        <v>36</v>
      </c>
    </row>
    <row r="4" spans="1:4" x14ac:dyDescent="0.3">
      <c r="C4" t="s">
        <v>35</v>
      </c>
      <c r="D4" s="19" t="s">
        <v>37</v>
      </c>
    </row>
    <row r="5" spans="1:4" x14ac:dyDescent="0.3">
      <c r="B5" t="s">
        <v>40</v>
      </c>
    </row>
    <row r="6" spans="1:4" x14ac:dyDescent="0.3">
      <c r="C6" t="s">
        <v>41</v>
      </c>
    </row>
    <row r="7" spans="1:4" x14ac:dyDescent="0.3">
      <c r="C7" t="s">
        <v>43</v>
      </c>
    </row>
    <row r="8" spans="1:4" x14ac:dyDescent="0.3">
      <c r="D8" t="s">
        <v>42</v>
      </c>
    </row>
    <row r="9" spans="1:4" x14ac:dyDescent="0.3">
      <c r="C9" t="s">
        <v>44</v>
      </c>
    </row>
    <row r="10" spans="1:4" x14ac:dyDescent="0.3">
      <c r="D10" t="s">
        <v>45</v>
      </c>
    </row>
    <row r="11" spans="1:4" x14ac:dyDescent="0.3">
      <c r="B11" t="s">
        <v>46</v>
      </c>
    </row>
    <row r="12" spans="1:4" x14ac:dyDescent="0.3">
      <c r="C12" t="s">
        <v>64</v>
      </c>
    </row>
    <row r="14" spans="1:4" x14ac:dyDescent="0.3">
      <c r="B14" t="s">
        <v>65</v>
      </c>
    </row>
    <row r="15" spans="1:4" x14ac:dyDescent="0.3">
      <c r="C15" s="19" t="s">
        <v>48</v>
      </c>
    </row>
    <row r="16" spans="1:4" x14ac:dyDescent="0.3">
      <c r="B16" t="s">
        <v>155</v>
      </c>
      <c r="C16" s="19"/>
    </row>
    <row r="17" spans="1:10" x14ac:dyDescent="0.3">
      <c r="B17" t="s">
        <v>154</v>
      </c>
      <c r="C17" s="19"/>
      <c r="E17" s="19" t="s">
        <v>151</v>
      </c>
    </row>
    <row r="18" spans="1:10" x14ac:dyDescent="0.3">
      <c r="B18" t="s">
        <v>150</v>
      </c>
      <c r="E18" s="19" t="s">
        <v>67</v>
      </c>
    </row>
    <row r="19" spans="1:10" x14ac:dyDescent="0.3">
      <c r="B19" t="s">
        <v>148</v>
      </c>
      <c r="C19" s="19"/>
      <c r="E19" s="19" t="s">
        <v>94</v>
      </c>
    </row>
    <row r="20" spans="1:10" x14ac:dyDescent="0.3">
      <c r="B20" t="s">
        <v>149</v>
      </c>
      <c r="E20" s="19" t="s">
        <v>152</v>
      </c>
    </row>
    <row r="21" spans="1:10" x14ac:dyDescent="0.3">
      <c r="B21" t="s">
        <v>156</v>
      </c>
      <c r="E21" s="19" t="s">
        <v>158</v>
      </c>
      <c r="J21" t="s">
        <v>166</v>
      </c>
    </row>
    <row r="22" spans="1:10" x14ac:dyDescent="0.3">
      <c r="B22" t="s">
        <v>157</v>
      </c>
      <c r="E22" s="19" t="s">
        <v>153</v>
      </c>
    </row>
    <row r="23" spans="1:10" x14ac:dyDescent="0.3">
      <c r="B23" t="s">
        <v>175</v>
      </c>
      <c r="E23" s="19" t="s">
        <v>176</v>
      </c>
    </row>
    <row r="24" spans="1:10" x14ac:dyDescent="0.3">
      <c r="B24" t="s">
        <v>242</v>
      </c>
      <c r="E24" s="19" t="s">
        <v>243</v>
      </c>
    </row>
    <row r="25" spans="1:10" x14ac:dyDescent="0.3">
      <c r="B25" t="s">
        <v>247</v>
      </c>
      <c r="E25" s="19" t="s">
        <v>248</v>
      </c>
    </row>
    <row r="26" spans="1:10" x14ac:dyDescent="0.3">
      <c r="B26" t="s">
        <v>66</v>
      </c>
    </row>
    <row r="27" spans="1:10" x14ac:dyDescent="0.3">
      <c r="C27" s="19" t="s">
        <v>47</v>
      </c>
    </row>
    <row r="28" spans="1:10" x14ac:dyDescent="0.3">
      <c r="B28" t="s">
        <v>63</v>
      </c>
    </row>
    <row r="29" spans="1:10" x14ac:dyDescent="0.3">
      <c r="C29" s="19" t="s">
        <v>50</v>
      </c>
    </row>
    <row r="30" spans="1:10" x14ac:dyDescent="0.3">
      <c r="C30" s="19"/>
    </row>
    <row r="31" spans="1:10" x14ac:dyDescent="0.3">
      <c r="A31" s="1">
        <v>42285</v>
      </c>
      <c r="B31" t="s">
        <v>70</v>
      </c>
    </row>
    <row r="32" spans="1:10" x14ac:dyDescent="0.3">
      <c r="A32" s="1">
        <v>42288</v>
      </c>
      <c r="B32" t="s">
        <v>95</v>
      </c>
      <c r="D32" t="s">
        <v>96</v>
      </c>
    </row>
    <row r="33" spans="1:5" x14ac:dyDescent="0.3">
      <c r="A33" s="1">
        <v>42289</v>
      </c>
      <c r="B33" t="s">
        <v>97</v>
      </c>
      <c r="D33" t="s">
        <v>98</v>
      </c>
    </row>
    <row r="34" spans="1:5" x14ac:dyDescent="0.3">
      <c r="A34" s="1">
        <v>42405</v>
      </c>
      <c r="B34" t="s">
        <v>99</v>
      </c>
      <c r="D34" t="s">
        <v>100</v>
      </c>
    </row>
    <row r="35" spans="1:5" x14ac:dyDescent="0.3">
      <c r="A35" s="1">
        <v>42405</v>
      </c>
      <c r="D35" t="s">
        <v>101</v>
      </c>
    </row>
    <row r="36" spans="1:5" x14ac:dyDescent="0.3">
      <c r="A36" s="1">
        <v>42416</v>
      </c>
      <c r="B36" t="s">
        <v>110</v>
      </c>
      <c r="D36" t="s">
        <v>119</v>
      </c>
    </row>
    <row r="37" spans="1:5" x14ac:dyDescent="0.3">
      <c r="A37" s="1">
        <v>42565</v>
      </c>
      <c r="D37" t="s">
        <v>120</v>
      </c>
    </row>
    <row r="38" spans="1:5" x14ac:dyDescent="0.3">
      <c r="E38" t="s">
        <v>121</v>
      </c>
    </row>
    <row r="39" spans="1:5" x14ac:dyDescent="0.3">
      <c r="A39" s="1">
        <v>42825</v>
      </c>
      <c r="D39" t="s">
        <v>122</v>
      </c>
    </row>
    <row r="40" spans="1:5" x14ac:dyDescent="0.3">
      <c r="A40" s="1">
        <v>43028</v>
      </c>
      <c r="D40" t="s">
        <v>123</v>
      </c>
    </row>
    <row r="41" spans="1:5" x14ac:dyDescent="0.3">
      <c r="A41" s="1">
        <v>43093</v>
      </c>
      <c r="B41" t="s">
        <v>131</v>
      </c>
      <c r="D41" t="s">
        <v>130</v>
      </c>
    </row>
    <row r="42" spans="1:5" x14ac:dyDescent="0.3">
      <c r="D42" t="s">
        <v>179</v>
      </c>
    </row>
    <row r="43" spans="1:5" x14ac:dyDescent="0.3">
      <c r="A43" s="1">
        <v>43456</v>
      </c>
      <c r="B43" t="s">
        <v>178</v>
      </c>
      <c r="D43" t="s">
        <v>173</v>
      </c>
    </row>
    <row r="44" spans="1:5" x14ac:dyDescent="0.3">
      <c r="D44" t="s">
        <v>174</v>
      </c>
    </row>
    <row r="45" spans="1:5" x14ac:dyDescent="0.3">
      <c r="D45" t="s">
        <v>177</v>
      </c>
    </row>
    <row r="46" spans="1:5" x14ac:dyDescent="0.3">
      <c r="A46" s="1">
        <v>43457</v>
      </c>
      <c r="D46" t="s">
        <v>180</v>
      </c>
    </row>
    <row r="47" spans="1:5" x14ac:dyDescent="0.3">
      <c r="A47" s="1">
        <v>43580</v>
      </c>
      <c r="D47" t="s">
        <v>189</v>
      </c>
    </row>
    <row r="48" spans="1:5" x14ac:dyDescent="0.3">
      <c r="A48" s="1">
        <v>43807</v>
      </c>
      <c r="D48" t="s">
        <v>190</v>
      </c>
    </row>
    <row r="49" spans="1:5" x14ac:dyDescent="0.3">
      <c r="A49" s="1">
        <v>43812</v>
      </c>
      <c r="B49" t="s">
        <v>191</v>
      </c>
      <c r="D49" t="s">
        <v>192</v>
      </c>
    </row>
    <row r="50" spans="1:5" x14ac:dyDescent="0.3">
      <c r="E50" s="19" t="s">
        <v>193</v>
      </c>
    </row>
    <row r="51" spans="1:5" x14ac:dyDescent="0.3">
      <c r="A51" s="1">
        <v>44081</v>
      </c>
      <c r="D51" t="s">
        <v>224</v>
      </c>
    </row>
    <row r="52" spans="1:5" x14ac:dyDescent="0.3">
      <c r="A52" s="1">
        <v>44111</v>
      </c>
      <c r="D52" t="s">
        <v>226</v>
      </c>
    </row>
    <row r="53" spans="1:5" x14ac:dyDescent="0.3">
      <c r="E53" t="s">
        <v>228</v>
      </c>
    </row>
    <row r="54" spans="1:5" x14ac:dyDescent="0.3">
      <c r="A54" s="1">
        <v>44147</v>
      </c>
      <c r="D54" t="s">
        <v>229</v>
      </c>
    </row>
    <row r="55" spans="1:5" x14ac:dyDescent="0.3">
      <c r="A55" s="1">
        <v>44179</v>
      </c>
      <c r="D55" t="s">
        <v>236</v>
      </c>
    </row>
    <row r="56" spans="1:5" x14ac:dyDescent="0.3">
      <c r="A56" s="1">
        <v>44524</v>
      </c>
      <c r="D56" t="s">
        <v>241</v>
      </c>
    </row>
    <row r="57" spans="1:5" x14ac:dyDescent="0.3">
      <c r="A57" s="1">
        <v>44944</v>
      </c>
      <c r="D57" t="s">
        <v>244</v>
      </c>
    </row>
    <row r="58" spans="1:5" x14ac:dyDescent="0.3">
      <c r="A58" s="1">
        <v>45086</v>
      </c>
      <c r="D58" t="s">
        <v>245</v>
      </c>
    </row>
    <row r="59" spans="1:5" x14ac:dyDescent="0.3">
      <c r="A59" s="1">
        <v>45252</v>
      </c>
      <c r="D59" t="s">
        <v>246</v>
      </c>
    </row>
    <row r="60" spans="1:5" x14ac:dyDescent="0.3">
      <c r="A60" s="1">
        <v>45635</v>
      </c>
      <c r="D60" t="s">
        <v>249</v>
      </c>
    </row>
    <row r="61" spans="1:5" x14ac:dyDescent="0.3">
      <c r="A61" s="1">
        <v>45882</v>
      </c>
      <c r="B61" t="s">
        <v>250</v>
      </c>
      <c r="D61" t="s">
        <v>300</v>
      </c>
    </row>
    <row r="62" spans="1:5" x14ac:dyDescent="0.3">
      <c r="D62" t="s">
        <v>251</v>
      </c>
    </row>
    <row r="63" spans="1:5" x14ac:dyDescent="0.3">
      <c r="D63" t="s">
        <v>259</v>
      </c>
    </row>
    <row r="64" spans="1:5" x14ac:dyDescent="0.3">
      <c r="D64" t="s">
        <v>296</v>
      </c>
    </row>
    <row r="65" spans="1:4" x14ac:dyDescent="0.3">
      <c r="A65" s="1">
        <v>45884</v>
      </c>
      <c r="D65" t="s">
        <v>301</v>
      </c>
    </row>
    <row r="66" spans="1:4" x14ac:dyDescent="0.3">
      <c r="A66" s="1">
        <v>46024</v>
      </c>
      <c r="D66" t="s">
        <v>302</v>
      </c>
    </row>
  </sheetData>
  <hyperlinks>
    <hyperlink ref="D3" r:id="rId1" xr:uid="{00000000-0004-0000-0500-000000000000}"/>
    <hyperlink ref="D4" r:id="rId2" xr:uid="{00000000-0004-0000-0500-000001000000}"/>
    <hyperlink ref="C27" r:id="rId3" location="p2622990" xr:uid="{00000000-0004-0000-0500-000002000000}"/>
    <hyperlink ref="C15" r:id="rId4" location="en_US_2014_publink100097892" xr:uid="{00000000-0004-0000-0500-000003000000}"/>
    <hyperlink ref="C29" r:id="rId5" location="Examples" xr:uid="{00000000-0004-0000-0500-000004000000}"/>
    <hyperlink ref="E18" r:id="rId6" xr:uid="{00000000-0004-0000-0500-000005000000}"/>
    <hyperlink ref="E19" r:id="rId7" xr:uid="{00000000-0004-0000-0500-000006000000}"/>
    <hyperlink ref="E17" r:id="rId8" xr:uid="{90789D23-F9A0-4B54-8273-4604D03D3FB3}"/>
    <hyperlink ref="E20" r:id="rId9" xr:uid="{B17FC4F8-72D2-48CF-952E-F44979071268}"/>
    <hyperlink ref="E22" r:id="rId10" xr:uid="{1C4B5179-EB2F-4B6A-BE35-F8161E520B8C}"/>
    <hyperlink ref="E21" r:id="rId11" xr:uid="{888CE6D1-D737-4A0A-BD86-21FE52BF6E21}"/>
    <hyperlink ref="E23" r:id="rId12" xr:uid="{1F8458EE-362A-423A-8422-97445171AEE9}"/>
    <hyperlink ref="E50" r:id="rId13" xr:uid="{BF5B9D89-7692-4A46-9FB0-F07709DBB73E}"/>
    <hyperlink ref="E24" r:id="rId14" xr:uid="{DBAE648C-B073-4A07-91B2-0EE8C9EE66C4}"/>
    <hyperlink ref="E25" r:id="rId15" xr:uid="{F5EFDD18-343B-4C57-83EE-44FD1728C022}"/>
  </hyperlink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Main</vt:lpstr>
      <vt:lpstr>Calc</vt:lpstr>
      <vt:lpstr>Compare</vt:lpstr>
      <vt:lpstr>Wiki</vt:lpstr>
      <vt:lpstr>Tables</vt:lpstr>
      <vt:lpstr>Instructions</vt:lpstr>
      <vt:lpstr>Notes</vt:lpstr>
      <vt:lpstr>combo_tbl</vt:lpstr>
      <vt:lpstr>joint_tbl</vt:lpstr>
      <vt:lpstr>rate_tbl</vt:lpstr>
      <vt:lpstr>single_tbl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rlh</dc:creator>
  <cp:lastModifiedBy>Robert Hinkley</cp:lastModifiedBy>
  <dcterms:created xsi:type="dcterms:W3CDTF">2015-10-05T21:11:55Z</dcterms:created>
  <dcterms:modified xsi:type="dcterms:W3CDTF">2026-01-02T23:09:26Z</dcterms:modified>
</cp:coreProperties>
</file>