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b76ad20971eac862/Documents/TIPSProject/bheads/"/>
    </mc:Choice>
  </mc:AlternateContent>
  <xr:revisionPtr revIDLastSave="751" documentId="13_ncr:1_{FF35EE1C-6B19-4F7B-88EC-9CB9726416B2}" xr6:coauthVersionLast="47" xr6:coauthVersionMax="47" xr10:uidLastSave="{0A7BB62A-0AFF-4339-AF20-A8D98C3E6B93}"/>
  <bookViews>
    <workbookView xWindow="1880" yWindow="230" windowWidth="19190" windowHeight="8060" tabRatio="702" xr2:uid="{00000000-000D-0000-FFFF-FFFF00000000}"/>
  </bookViews>
  <sheets>
    <sheet name="Interest&amp;OID" sheetId="1" r:id="rId1"/>
    <sheet name="WSJ" sheetId="5" r:id="rId2"/>
    <sheet name="Weeds" sheetId="7" r:id="rId3"/>
    <sheet name="CPI" sheetId="6" r:id="rId4"/>
    <sheet name="Notes" sheetId="3" r:id="rId5"/>
  </sheets>
  <definedNames>
    <definedName name="_xlnm.Print_Titles" localSheetId="0">'Interest&amp;OID'!$2:$3</definedName>
    <definedName name="wsj_paste_here">WSJ!$C$3:$I$59</definedName>
    <definedName name="wsj_quotes">WSJ!$A$3:$K$59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7" l="1"/>
  <c r="E24" i="7" s="1"/>
  <c r="F24" i="7" s="1"/>
  <c r="G24" i="7" s="1"/>
  <c r="C24" i="7"/>
  <c r="AI79" i="1"/>
  <c r="AA79" i="1"/>
  <c r="D79" i="1"/>
  <c r="E79" i="1" s="1"/>
  <c r="AO12" i="1"/>
  <c r="AO24" i="1"/>
  <c r="AO36" i="1"/>
  <c r="AO48" i="1"/>
  <c r="AO60" i="1"/>
  <c r="AO72" i="1"/>
  <c r="AO85" i="1"/>
  <c r="AO92" i="1"/>
  <c r="AO97" i="1"/>
  <c r="AO104" i="1"/>
  <c r="AO4" i="1"/>
  <c r="D106" i="1"/>
  <c r="AO106" i="1" s="1"/>
  <c r="D105" i="1"/>
  <c r="AO105" i="1" s="1"/>
  <c r="D104" i="1"/>
  <c r="D103" i="1"/>
  <c r="AO103" i="1" s="1"/>
  <c r="D102" i="1"/>
  <c r="AO102" i="1" s="1"/>
  <c r="D101" i="1"/>
  <c r="AO101" i="1" s="1"/>
  <c r="D100" i="1"/>
  <c r="AO100" i="1" s="1"/>
  <c r="D99" i="1"/>
  <c r="AO99" i="1" s="1"/>
  <c r="D98" i="1"/>
  <c r="AO98" i="1" s="1"/>
  <c r="D97" i="1"/>
  <c r="D96" i="1"/>
  <c r="AO96" i="1" s="1"/>
  <c r="D95" i="1"/>
  <c r="AO95" i="1" s="1"/>
  <c r="D94" i="1"/>
  <c r="AO94" i="1" s="1"/>
  <c r="D93" i="1"/>
  <c r="AO93" i="1" s="1"/>
  <c r="D92" i="1"/>
  <c r="D91" i="1"/>
  <c r="AO91" i="1" s="1"/>
  <c r="D90" i="1"/>
  <c r="AO90" i="1" s="1"/>
  <c r="D89" i="1"/>
  <c r="AO89" i="1" s="1"/>
  <c r="D88" i="1"/>
  <c r="AO88" i="1" s="1"/>
  <c r="D87" i="1"/>
  <c r="AO87" i="1" s="1"/>
  <c r="D86" i="1"/>
  <c r="AO86" i="1" s="1"/>
  <c r="D85" i="1"/>
  <c r="D84" i="1"/>
  <c r="AO84" i="1" s="1"/>
  <c r="D83" i="1"/>
  <c r="AO83" i="1" s="1"/>
  <c r="D82" i="1"/>
  <c r="AO82" i="1" s="1"/>
  <c r="D81" i="1"/>
  <c r="AO81" i="1" s="1"/>
  <c r="D80" i="1"/>
  <c r="AO80" i="1" s="1"/>
  <c r="D78" i="1"/>
  <c r="AO78" i="1" s="1"/>
  <c r="D77" i="1"/>
  <c r="AO77" i="1" s="1"/>
  <c r="D76" i="1"/>
  <c r="AO76" i="1" s="1"/>
  <c r="D75" i="1"/>
  <c r="AO75" i="1" s="1"/>
  <c r="D74" i="1"/>
  <c r="AO74" i="1" s="1"/>
  <c r="D73" i="1"/>
  <c r="AO73" i="1" s="1"/>
  <c r="D72" i="1"/>
  <c r="D71" i="1"/>
  <c r="AO71" i="1" s="1"/>
  <c r="D70" i="1"/>
  <c r="AO70" i="1" s="1"/>
  <c r="D69" i="1"/>
  <c r="AO69" i="1" s="1"/>
  <c r="D68" i="1"/>
  <c r="AO68" i="1" s="1"/>
  <c r="D67" i="1"/>
  <c r="AO67" i="1" s="1"/>
  <c r="D66" i="1"/>
  <c r="AO66" i="1" s="1"/>
  <c r="D65" i="1"/>
  <c r="AO65" i="1" s="1"/>
  <c r="D64" i="1"/>
  <c r="AO64" i="1" s="1"/>
  <c r="D63" i="1"/>
  <c r="AO63" i="1" s="1"/>
  <c r="D62" i="1"/>
  <c r="AO62" i="1" s="1"/>
  <c r="D61" i="1"/>
  <c r="AO61" i="1" s="1"/>
  <c r="D60" i="1"/>
  <c r="D59" i="1"/>
  <c r="AO59" i="1" s="1"/>
  <c r="D58" i="1"/>
  <c r="AO58" i="1" s="1"/>
  <c r="D57" i="1"/>
  <c r="AO57" i="1" s="1"/>
  <c r="D56" i="1"/>
  <c r="AO56" i="1" s="1"/>
  <c r="D55" i="1"/>
  <c r="AO55" i="1" s="1"/>
  <c r="D54" i="1"/>
  <c r="AO54" i="1" s="1"/>
  <c r="D53" i="1"/>
  <c r="AO53" i="1" s="1"/>
  <c r="D52" i="1"/>
  <c r="AO52" i="1" s="1"/>
  <c r="D51" i="1"/>
  <c r="AO51" i="1" s="1"/>
  <c r="D50" i="1"/>
  <c r="AO50" i="1" s="1"/>
  <c r="D49" i="1"/>
  <c r="AO49" i="1" s="1"/>
  <c r="D48" i="1"/>
  <c r="D47" i="1"/>
  <c r="AO47" i="1" s="1"/>
  <c r="D46" i="1"/>
  <c r="AO46" i="1" s="1"/>
  <c r="D45" i="1"/>
  <c r="AO45" i="1" s="1"/>
  <c r="D44" i="1"/>
  <c r="AO44" i="1" s="1"/>
  <c r="D43" i="1"/>
  <c r="AO43" i="1" s="1"/>
  <c r="D42" i="1"/>
  <c r="AO42" i="1" s="1"/>
  <c r="D41" i="1"/>
  <c r="AO41" i="1" s="1"/>
  <c r="D40" i="1"/>
  <c r="AO40" i="1" s="1"/>
  <c r="D39" i="1"/>
  <c r="AO39" i="1" s="1"/>
  <c r="D38" i="1"/>
  <c r="AO38" i="1" s="1"/>
  <c r="D37" i="1"/>
  <c r="AO37" i="1" s="1"/>
  <c r="D36" i="1"/>
  <c r="D35" i="1"/>
  <c r="AO35" i="1" s="1"/>
  <c r="D34" i="1"/>
  <c r="AO34" i="1" s="1"/>
  <c r="D33" i="1"/>
  <c r="AO33" i="1" s="1"/>
  <c r="D32" i="1"/>
  <c r="AO32" i="1" s="1"/>
  <c r="D31" i="1"/>
  <c r="AO31" i="1" s="1"/>
  <c r="D30" i="1"/>
  <c r="AO30" i="1" s="1"/>
  <c r="D29" i="1"/>
  <c r="AO29" i="1" s="1"/>
  <c r="D28" i="1"/>
  <c r="AO28" i="1" s="1"/>
  <c r="D27" i="1"/>
  <c r="AO27" i="1" s="1"/>
  <c r="D26" i="1"/>
  <c r="AO26" i="1" s="1"/>
  <c r="D25" i="1"/>
  <c r="AO25" i="1" s="1"/>
  <c r="D24" i="1"/>
  <c r="D23" i="1"/>
  <c r="AO23" i="1" s="1"/>
  <c r="D22" i="1"/>
  <c r="AO22" i="1" s="1"/>
  <c r="D21" i="1"/>
  <c r="AO21" i="1" s="1"/>
  <c r="D20" i="1"/>
  <c r="AO20" i="1" s="1"/>
  <c r="D19" i="1"/>
  <c r="AO19" i="1" s="1"/>
  <c r="D18" i="1"/>
  <c r="AO18" i="1" s="1"/>
  <c r="D17" i="1"/>
  <c r="AO17" i="1" s="1"/>
  <c r="D16" i="1"/>
  <c r="AO16" i="1" s="1"/>
  <c r="D15" i="1"/>
  <c r="AO15" i="1" s="1"/>
  <c r="D14" i="1"/>
  <c r="AO14" i="1" s="1"/>
  <c r="D13" i="1"/>
  <c r="AO13" i="1" s="1"/>
  <c r="D12" i="1"/>
  <c r="D11" i="1"/>
  <c r="AO11" i="1" s="1"/>
  <c r="D10" i="1"/>
  <c r="AO10" i="1" s="1"/>
  <c r="D9" i="1"/>
  <c r="AO9" i="1" s="1"/>
  <c r="D8" i="1"/>
  <c r="AO8" i="1" s="1"/>
  <c r="D7" i="1"/>
  <c r="AO7" i="1" s="1"/>
  <c r="D6" i="1"/>
  <c r="AO6" i="1" s="1"/>
  <c r="D5" i="1"/>
  <c r="AO5" i="1" s="1"/>
  <c r="D4" i="1"/>
  <c r="P2" i="6"/>
  <c r="E8" i="7"/>
  <c r="F8" i="7" s="1"/>
  <c r="D9" i="7"/>
  <c r="C12" i="7"/>
  <c r="D12" i="7"/>
  <c r="C25" i="7"/>
  <c r="C20" i="7"/>
  <c r="C21" i="7"/>
  <c r="C16" i="7"/>
  <c r="H28" i="7"/>
  <c r="H27" i="7"/>
  <c r="H23" i="7"/>
  <c r="H22" i="7"/>
  <c r="B25" i="7"/>
  <c r="H26" i="7"/>
  <c r="B21" i="7"/>
  <c r="B20" i="7"/>
  <c r="H14" i="7"/>
  <c r="H13" i="7"/>
  <c r="F31" i="7"/>
  <c r="C32" i="7"/>
  <c r="D32" i="7" s="1"/>
  <c r="E32" i="7" s="1"/>
  <c r="F32" i="7" s="1"/>
  <c r="G32" i="7" s="1"/>
  <c r="A31" i="7"/>
  <c r="A36" i="7" s="1"/>
  <c r="H18" i="7"/>
  <c r="H17" i="7"/>
  <c r="H12" i="7"/>
  <c r="H8" i="7"/>
  <c r="H6" i="7"/>
  <c r="B16" i="7"/>
  <c r="B12" i="7"/>
  <c r="B10" i="7"/>
  <c r="B9" i="7"/>
  <c r="B6" i="7"/>
  <c r="AO79" i="1" l="1"/>
  <c r="G8" i="7"/>
  <c r="G12" i="7" s="1"/>
  <c r="F12" i="7"/>
  <c r="E12" i="7"/>
  <c r="A39" i="7"/>
  <c r="A38" i="7"/>
  <c r="A37" i="7"/>
  <c r="D21" i="7"/>
  <c r="D25" i="7"/>
  <c r="D20" i="7"/>
  <c r="D16" i="7"/>
  <c r="A7" i="7"/>
  <c r="D10" i="7"/>
  <c r="C10" i="7"/>
  <c r="C9" i="7"/>
  <c r="F33" i="7"/>
  <c r="C33" i="7"/>
  <c r="E33" i="7"/>
  <c r="D33" i="7"/>
  <c r="G31" i="7"/>
  <c r="A43" i="7"/>
  <c r="A55" i="7"/>
  <c r="A44" i="7"/>
  <c r="A50" i="7"/>
  <c r="A46" i="7"/>
  <c r="A59" i="7"/>
  <c r="A42" i="7" l="1"/>
  <c r="A58" i="7"/>
  <c r="E21" i="7"/>
  <c r="E16" i="7"/>
  <c r="E20" i="7"/>
  <c r="E25" i="7"/>
  <c r="A35" i="7"/>
  <c r="A54" i="7"/>
  <c r="F21" i="7" l="1"/>
  <c r="F16" i="7"/>
  <c r="F20" i="7"/>
  <c r="F25" i="7"/>
  <c r="E9" i="7"/>
  <c r="E10" i="7"/>
  <c r="F9" i="7"/>
  <c r="F10" i="7"/>
  <c r="G33" i="7"/>
  <c r="G25" i="7" l="1"/>
  <c r="G16" i="7"/>
  <c r="G21" i="7"/>
  <c r="G20" i="7"/>
  <c r="G9" i="7"/>
  <c r="G10" i="7"/>
  <c r="A40" i="7"/>
  <c r="Q3" i="1" l="1"/>
  <c r="D1" i="1"/>
  <c r="P1" i="6"/>
  <c r="P4" i="6"/>
  <c r="H107" i="1"/>
  <c r="AA105" i="1"/>
  <c r="E105" i="1"/>
  <c r="AI90" i="1"/>
  <c r="AA90" i="1"/>
  <c r="E90" i="1"/>
  <c r="AH1" i="1"/>
  <c r="AF79" i="1" s="1"/>
  <c r="E106" i="1"/>
  <c r="E104" i="1"/>
  <c r="E103" i="1"/>
  <c r="E102" i="1"/>
  <c r="E101" i="1"/>
  <c r="E100" i="1"/>
  <c r="E99" i="1"/>
  <c r="E98" i="1"/>
  <c r="E97" i="1"/>
  <c r="E96" i="1"/>
  <c r="E95" i="1"/>
  <c r="E94" i="1"/>
  <c r="E93" i="1"/>
  <c r="E92" i="1"/>
  <c r="E91" i="1"/>
  <c r="E89" i="1"/>
  <c r="E88" i="1"/>
  <c r="E87" i="1"/>
  <c r="E86" i="1"/>
  <c r="E85" i="1"/>
  <c r="E84" i="1"/>
  <c r="E83" i="1"/>
  <c r="E82" i="1"/>
  <c r="E81" i="1"/>
  <c r="E80"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AA106" i="1"/>
  <c r="AA104" i="1"/>
  <c r="AA103" i="1"/>
  <c r="AA102" i="1"/>
  <c r="AA101" i="1"/>
  <c r="AA100" i="1"/>
  <c r="AA99" i="1"/>
  <c r="AA98" i="1"/>
  <c r="AA97" i="1"/>
  <c r="AA96" i="1"/>
  <c r="AA95" i="1"/>
  <c r="AA94" i="1"/>
  <c r="AA93" i="1"/>
  <c r="AA92" i="1"/>
  <c r="AA91" i="1"/>
  <c r="AA89" i="1"/>
  <c r="AA88" i="1"/>
  <c r="AA87" i="1"/>
  <c r="AA86" i="1"/>
  <c r="AA85" i="1"/>
  <c r="AA84" i="1"/>
  <c r="AA83" i="1"/>
  <c r="AA82" i="1"/>
  <c r="AA81" i="1"/>
  <c r="AA80"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J79" i="1" l="1"/>
  <c r="AG79" i="1"/>
  <c r="AH79" i="1" s="1"/>
  <c r="P3" i="6"/>
  <c r="P5" i="6" s="1"/>
  <c r="AF90" i="1"/>
  <c r="AJ90" i="1" s="1"/>
  <c r="AF105" i="1"/>
  <c r="J55" i="5"/>
  <c r="AK79" i="1" l="1"/>
  <c r="D2" i="1"/>
  <c r="S1" i="1" s="1"/>
  <c r="B7" i="7"/>
  <c r="C13" i="7"/>
  <c r="B11" i="7"/>
  <c r="B13" i="7"/>
  <c r="D13" i="7"/>
  <c r="G13" i="7"/>
  <c r="D11" i="7"/>
  <c r="C11" i="7"/>
  <c r="E13" i="7"/>
  <c r="F13" i="7"/>
  <c r="F11" i="7"/>
  <c r="E11" i="7"/>
  <c r="G11" i="7"/>
  <c r="AB98" i="1"/>
  <c r="AE98" i="1" s="1"/>
  <c r="AB85" i="1"/>
  <c r="AE85" i="1" s="1"/>
  <c r="AB35" i="1"/>
  <c r="AE35" i="1" s="1"/>
  <c r="AB14" i="1"/>
  <c r="AE14" i="1" s="1"/>
  <c r="AB96" i="1"/>
  <c r="AE96" i="1" s="1"/>
  <c r="AB15" i="1"/>
  <c r="AE15" i="1" s="1"/>
  <c r="AB95" i="1"/>
  <c r="AE95" i="1" s="1"/>
  <c r="AB82" i="1"/>
  <c r="AE82" i="1" s="1"/>
  <c r="AB68" i="1"/>
  <c r="AE68" i="1" s="1"/>
  <c r="AB43" i="1"/>
  <c r="AE43" i="1" s="1"/>
  <c r="AB30" i="1"/>
  <c r="AE30" i="1" s="1"/>
  <c r="AB6" i="1"/>
  <c r="AE6" i="1" s="1"/>
  <c r="AB89" i="1"/>
  <c r="AE89" i="1" s="1"/>
  <c r="AB78" i="1"/>
  <c r="AE78" i="1" s="1"/>
  <c r="AB102" i="1"/>
  <c r="AE102" i="1" s="1"/>
  <c r="AB90" i="1"/>
  <c r="AE90" i="1" s="1"/>
  <c r="AB40" i="1"/>
  <c r="AE40" i="1" s="1"/>
  <c r="AG90" i="1"/>
  <c r="AH90" i="1" s="1"/>
  <c r="AG105" i="1"/>
  <c r="AH105" i="1" s="1"/>
  <c r="AI5" i="1"/>
  <c r="AI6" i="1"/>
  <c r="AI7" i="1"/>
  <c r="AI8" i="1"/>
  <c r="AI9" i="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 i="1"/>
  <c r="A47" i="7"/>
  <c r="A41" i="7"/>
  <c r="A45" i="7"/>
  <c r="AB104" i="1" l="1"/>
  <c r="AE104" i="1" s="1"/>
  <c r="AB72" i="1"/>
  <c r="AE72" i="1" s="1"/>
  <c r="Q1" i="1"/>
  <c r="AB56" i="1"/>
  <c r="AE56" i="1" s="1"/>
  <c r="AB97" i="1"/>
  <c r="AE97" i="1" s="1"/>
  <c r="AB77" i="1"/>
  <c r="AE77" i="1" s="1"/>
  <c r="AB69" i="1"/>
  <c r="AE69" i="1" s="1"/>
  <c r="AB50" i="1"/>
  <c r="AE50" i="1" s="1"/>
  <c r="AB5" i="1"/>
  <c r="AE5" i="1" s="1"/>
  <c r="AB53" i="1"/>
  <c r="AE53" i="1" s="1"/>
  <c r="E14" i="7"/>
  <c r="E15" i="7" s="1"/>
  <c r="E17" i="7" s="1"/>
  <c r="E18" i="7" s="1"/>
  <c r="AB94" i="1"/>
  <c r="AE94" i="1" s="1"/>
  <c r="AC3" i="1"/>
  <c r="AB18" i="1"/>
  <c r="AE18" i="1" s="1"/>
  <c r="AB75" i="1"/>
  <c r="AE75" i="1" s="1"/>
  <c r="AB76" i="1"/>
  <c r="AE76" i="1" s="1"/>
  <c r="AB38" i="1"/>
  <c r="AE38" i="1" s="1"/>
  <c r="AB31" i="1"/>
  <c r="AE31" i="1" s="1"/>
  <c r="X1" i="1"/>
  <c r="AB86" i="1"/>
  <c r="AE86" i="1" s="1"/>
  <c r="AB79" i="1"/>
  <c r="AE79" i="1" s="1"/>
  <c r="AB106" i="1"/>
  <c r="AE106" i="1" s="1"/>
  <c r="AB26" i="1"/>
  <c r="AE26" i="1" s="1"/>
  <c r="AB100" i="1"/>
  <c r="AE100" i="1" s="1"/>
  <c r="AB17" i="1"/>
  <c r="AE17" i="1" s="1"/>
  <c r="AB42" i="1"/>
  <c r="AE42" i="1" s="1"/>
  <c r="AB81" i="1"/>
  <c r="AE81" i="1" s="1"/>
  <c r="AB64" i="1"/>
  <c r="AE64" i="1" s="1"/>
  <c r="AB51" i="1"/>
  <c r="AE51" i="1" s="1"/>
  <c r="AB63" i="1"/>
  <c r="AE63" i="1" s="1"/>
  <c r="AB101" i="1"/>
  <c r="AE101" i="1" s="1"/>
  <c r="AB25" i="1"/>
  <c r="AE25" i="1" s="1"/>
  <c r="AB39" i="1"/>
  <c r="AE39" i="1" s="1"/>
  <c r="AB29" i="1"/>
  <c r="AE29" i="1" s="1"/>
  <c r="AB55" i="1"/>
  <c r="AE55" i="1" s="1"/>
  <c r="AB93" i="1"/>
  <c r="AE93" i="1" s="1"/>
  <c r="AB9" i="1"/>
  <c r="AE9" i="1" s="1"/>
  <c r="AB10" i="1"/>
  <c r="AE10" i="1" s="1"/>
  <c r="AB88" i="1"/>
  <c r="AE88" i="1" s="1"/>
  <c r="AB12" i="1"/>
  <c r="AE12" i="1" s="1"/>
  <c r="AB37" i="1"/>
  <c r="AE37" i="1" s="1"/>
  <c r="AB13" i="1"/>
  <c r="AE13" i="1" s="1"/>
  <c r="AB4" i="1"/>
  <c r="AE4" i="1" s="1"/>
  <c r="AB41" i="1"/>
  <c r="AE41" i="1" s="1"/>
  <c r="AB67" i="1"/>
  <c r="AE67" i="1" s="1"/>
  <c r="AB105" i="1"/>
  <c r="AE105" i="1" s="1"/>
  <c r="AB21" i="1"/>
  <c r="AE21" i="1" s="1"/>
  <c r="AB22" i="1"/>
  <c r="AE22" i="1" s="1"/>
  <c r="AB27" i="1"/>
  <c r="AE27" i="1" s="1"/>
  <c r="AB24" i="1"/>
  <c r="AE24" i="1" s="1"/>
  <c r="AB49" i="1"/>
  <c r="AE49" i="1" s="1"/>
  <c r="AB16" i="1"/>
  <c r="AE16" i="1" s="1"/>
  <c r="AB54" i="1"/>
  <c r="AE54" i="1" s="1"/>
  <c r="AB80" i="1"/>
  <c r="AE80" i="1" s="1"/>
  <c r="AB8" i="1"/>
  <c r="AE8" i="1" s="1"/>
  <c r="AB33" i="1"/>
  <c r="AE33" i="1" s="1"/>
  <c r="AB34" i="1"/>
  <c r="AE34" i="1" s="1"/>
  <c r="AB11" i="1"/>
  <c r="AE11" i="1" s="1"/>
  <c r="AB36" i="1"/>
  <c r="AE36" i="1" s="1"/>
  <c r="AB62" i="1"/>
  <c r="AE62" i="1" s="1"/>
  <c r="AB28" i="1"/>
  <c r="AE28" i="1" s="1"/>
  <c r="AB66" i="1"/>
  <c r="AE66" i="1" s="1"/>
  <c r="AB92" i="1"/>
  <c r="AE92" i="1" s="1"/>
  <c r="AB20" i="1"/>
  <c r="AE20" i="1" s="1"/>
  <c r="AB45" i="1"/>
  <c r="AE45" i="1" s="1"/>
  <c r="AB46" i="1"/>
  <c r="AE46" i="1" s="1"/>
  <c r="AB23" i="1"/>
  <c r="AE23" i="1" s="1"/>
  <c r="AB48" i="1"/>
  <c r="AE48" i="1" s="1"/>
  <c r="AB74" i="1"/>
  <c r="AE74" i="1" s="1"/>
  <c r="AB32" i="1"/>
  <c r="AE32" i="1" s="1"/>
  <c r="AB58" i="1"/>
  <c r="AE58" i="1" s="1"/>
  <c r="AB59" i="1"/>
  <c r="AE59" i="1" s="1"/>
  <c r="AB61" i="1"/>
  <c r="AE61" i="1" s="1"/>
  <c r="AB87" i="1"/>
  <c r="AE87" i="1" s="1"/>
  <c r="AB52" i="1"/>
  <c r="AE52" i="1" s="1"/>
  <c r="AB91" i="1"/>
  <c r="AE91" i="1" s="1"/>
  <c r="AB7" i="1"/>
  <c r="AE7" i="1" s="1"/>
  <c r="AB44" i="1"/>
  <c r="AE44" i="1" s="1"/>
  <c r="AB70" i="1"/>
  <c r="AE70" i="1" s="1"/>
  <c r="AB71" i="1"/>
  <c r="AE71" i="1" s="1"/>
  <c r="AB47" i="1"/>
  <c r="AE47" i="1" s="1"/>
  <c r="AB73" i="1"/>
  <c r="AE73" i="1" s="1"/>
  <c r="AB99" i="1"/>
  <c r="AE99" i="1" s="1"/>
  <c r="AB65" i="1"/>
  <c r="AE65" i="1" s="1"/>
  <c r="AB103" i="1"/>
  <c r="AE103" i="1" s="1"/>
  <c r="AB19" i="1"/>
  <c r="AE19" i="1" s="1"/>
  <c r="AB57" i="1"/>
  <c r="AE57" i="1" s="1"/>
  <c r="AB83" i="1"/>
  <c r="AE83" i="1" s="1"/>
  <c r="AB84" i="1"/>
  <c r="AE84" i="1" s="1"/>
  <c r="AB60" i="1"/>
  <c r="AE60" i="1" s="1"/>
  <c r="F14" i="7"/>
  <c r="F15" i="7" s="1"/>
  <c r="F17" i="7" s="1"/>
  <c r="F18" i="7" s="1"/>
  <c r="G14" i="7"/>
  <c r="G15" i="7" s="1"/>
  <c r="G17" i="7" s="1"/>
  <c r="G18" i="7" s="1"/>
  <c r="D14" i="7"/>
  <c r="D15" i="7" s="1"/>
  <c r="D17" i="7" s="1"/>
  <c r="D18" i="7" s="1"/>
  <c r="B14" i="7"/>
  <c r="C14" i="7"/>
  <c r="C15" i="7" s="1"/>
  <c r="C17" i="7" s="1"/>
  <c r="C18" i="7" s="1"/>
  <c r="AK90" i="1"/>
  <c r="K59" i="5"/>
  <c r="J59" i="5"/>
  <c r="B59" i="5"/>
  <c r="A59" i="5" s="1"/>
  <c r="K58" i="5"/>
  <c r="J58" i="5"/>
  <c r="B58" i="5"/>
  <c r="A58" i="5" s="1"/>
  <c r="K57" i="5"/>
  <c r="J57" i="5"/>
  <c r="B57" i="5"/>
  <c r="A57" i="5" s="1"/>
  <c r="K56" i="5"/>
  <c r="J56" i="5"/>
  <c r="B56" i="5"/>
  <c r="A56" i="5" s="1"/>
  <c r="K55" i="5"/>
  <c r="B55" i="5"/>
  <c r="A55" i="5" s="1"/>
  <c r="K54" i="5"/>
  <c r="J54" i="5"/>
  <c r="B54" i="5"/>
  <c r="A54" i="5" s="1"/>
  <c r="K53" i="5"/>
  <c r="J53" i="5"/>
  <c r="B53" i="5"/>
  <c r="A53" i="5" s="1"/>
  <c r="K52" i="5"/>
  <c r="J52" i="5"/>
  <c r="B52" i="5"/>
  <c r="A52" i="5" s="1"/>
  <c r="K51" i="5"/>
  <c r="J51" i="5"/>
  <c r="B51" i="5"/>
  <c r="A51" i="5" s="1"/>
  <c r="K50" i="5"/>
  <c r="J50" i="5"/>
  <c r="B50" i="5"/>
  <c r="A50" i="5" s="1"/>
  <c r="K49" i="5"/>
  <c r="J49" i="5"/>
  <c r="B49" i="5"/>
  <c r="A49" i="5" s="1"/>
  <c r="K48" i="5"/>
  <c r="J48" i="5"/>
  <c r="B48" i="5"/>
  <c r="A48" i="5" s="1"/>
  <c r="K47" i="5"/>
  <c r="J47" i="5"/>
  <c r="B47" i="5"/>
  <c r="A47" i="5" s="1"/>
  <c r="K46" i="5"/>
  <c r="J46" i="5"/>
  <c r="B46" i="5"/>
  <c r="A46" i="5" s="1"/>
  <c r="K45" i="5"/>
  <c r="J45" i="5"/>
  <c r="B45" i="5"/>
  <c r="A45" i="5" s="1"/>
  <c r="K44" i="5"/>
  <c r="J44" i="5"/>
  <c r="B44" i="5"/>
  <c r="A44" i="5" s="1"/>
  <c r="K43" i="5"/>
  <c r="J43" i="5"/>
  <c r="B43" i="5"/>
  <c r="A43" i="5" s="1"/>
  <c r="K42" i="5"/>
  <c r="J42" i="5"/>
  <c r="B42" i="5"/>
  <c r="A42" i="5" s="1"/>
  <c r="K41" i="5"/>
  <c r="J41" i="5"/>
  <c r="B41" i="5"/>
  <c r="A41" i="5" s="1"/>
  <c r="K40" i="5"/>
  <c r="J40" i="5"/>
  <c r="B40" i="5"/>
  <c r="A40" i="5" s="1"/>
  <c r="K39" i="5"/>
  <c r="J39" i="5"/>
  <c r="B39" i="5"/>
  <c r="A39" i="5" s="1"/>
  <c r="K38" i="5"/>
  <c r="J38" i="5"/>
  <c r="B38" i="5"/>
  <c r="A38" i="5" s="1"/>
  <c r="K37" i="5"/>
  <c r="J37" i="5"/>
  <c r="B37" i="5"/>
  <c r="A37" i="5" s="1"/>
  <c r="K36" i="5"/>
  <c r="J36" i="5"/>
  <c r="B36" i="5"/>
  <c r="A36" i="5" s="1"/>
  <c r="K35" i="5"/>
  <c r="J35" i="5"/>
  <c r="B35" i="5"/>
  <c r="A35" i="5" s="1"/>
  <c r="K34" i="5"/>
  <c r="J34" i="5"/>
  <c r="B34" i="5"/>
  <c r="A34" i="5" s="1"/>
  <c r="K33" i="5"/>
  <c r="J33" i="5"/>
  <c r="B33" i="5"/>
  <c r="A33" i="5" s="1"/>
  <c r="K32" i="5"/>
  <c r="J32" i="5"/>
  <c r="B32" i="5"/>
  <c r="A32" i="5" s="1"/>
  <c r="K31" i="5"/>
  <c r="J31" i="5"/>
  <c r="B31" i="5"/>
  <c r="A31" i="5" s="1"/>
  <c r="K30" i="5"/>
  <c r="J30" i="5"/>
  <c r="B30" i="5"/>
  <c r="A30" i="5" s="1"/>
  <c r="K29" i="5"/>
  <c r="J29" i="5"/>
  <c r="B29" i="5"/>
  <c r="A29" i="5" s="1"/>
  <c r="K28" i="5"/>
  <c r="J28" i="5"/>
  <c r="B28" i="5"/>
  <c r="A28" i="5" s="1"/>
  <c r="K27" i="5"/>
  <c r="J27" i="5"/>
  <c r="B27" i="5"/>
  <c r="A27" i="5" s="1"/>
  <c r="K26" i="5"/>
  <c r="J26" i="5"/>
  <c r="B26" i="5"/>
  <c r="A26" i="5" s="1"/>
  <c r="K25" i="5"/>
  <c r="J25" i="5"/>
  <c r="B25" i="5"/>
  <c r="A25" i="5" s="1"/>
  <c r="K24" i="5"/>
  <c r="J24" i="5"/>
  <c r="B24" i="5"/>
  <c r="A24" i="5" s="1"/>
  <c r="K23" i="5"/>
  <c r="J23" i="5"/>
  <c r="B23" i="5"/>
  <c r="A23" i="5" s="1"/>
  <c r="K22" i="5"/>
  <c r="J22" i="5"/>
  <c r="B22" i="5"/>
  <c r="A22" i="5" s="1"/>
  <c r="K21" i="5"/>
  <c r="J21" i="5"/>
  <c r="B21" i="5"/>
  <c r="A21" i="5" s="1"/>
  <c r="K20" i="5"/>
  <c r="J20" i="5"/>
  <c r="B20" i="5"/>
  <c r="A20" i="5" s="1"/>
  <c r="K19" i="5"/>
  <c r="J19" i="5"/>
  <c r="B19" i="5"/>
  <c r="A19" i="5" s="1"/>
  <c r="K18" i="5"/>
  <c r="J18" i="5"/>
  <c r="B18" i="5"/>
  <c r="A18" i="5" s="1"/>
  <c r="K17" i="5"/>
  <c r="J17" i="5"/>
  <c r="B17" i="5"/>
  <c r="A17" i="5" s="1"/>
  <c r="K16" i="5"/>
  <c r="J16" i="5"/>
  <c r="B16" i="5"/>
  <c r="A16" i="5" s="1"/>
  <c r="K15" i="5"/>
  <c r="J15" i="5"/>
  <c r="B15" i="5"/>
  <c r="A15" i="5" s="1"/>
  <c r="K14" i="5"/>
  <c r="J14" i="5"/>
  <c r="B14" i="5"/>
  <c r="A14" i="5" s="1"/>
  <c r="K13" i="5"/>
  <c r="J13" i="5"/>
  <c r="B13" i="5"/>
  <c r="A13" i="5" s="1"/>
  <c r="K12" i="5"/>
  <c r="J12" i="5"/>
  <c r="B12" i="5"/>
  <c r="A12" i="5" s="1"/>
  <c r="K11" i="5"/>
  <c r="J11" i="5"/>
  <c r="B11" i="5"/>
  <c r="A11" i="5" s="1"/>
  <c r="K10" i="5"/>
  <c r="J10" i="5"/>
  <c r="B10" i="5"/>
  <c r="A10" i="5" s="1"/>
  <c r="K9" i="5"/>
  <c r="J9" i="5"/>
  <c r="B9" i="5"/>
  <c r="A9" i="5" s="1"/>
  <c r="K8" i="5"/>
  <c r="J8" i="5"/>
  <c r="B8" i="5"/>
  <c r="A8" i="5" s="1"/>
  <c r="K7" i="5"/>
  <c r="J7" i="5"/>
  <c r="B7" i="5"/>
  <c r="A7" i="5" s="1"/>
  <c r="K6" i="5"/>
  <c r="J6" i="5"/>
  <c r="B6" i="5"/>
  <c r="A6" i="5" s="1"/>
  <c r="K5" i="5"/>
  <c r="J5" i="5"/>
  <c r="B5" i="5"/>
  <c r="A5" i="5" s="1"/>
  <c r="K4" i="5"/>
  <c r="J4" i="5"/>
  <c r="B4" i="5"/>
  <c r="A4" i="5" s="1"/>
  <c r="K3" i="5"/>
  <c r="J3" i="5"/>
  <c r="B3" i="5"/>
  <c r="A3" i="5" s="1"/>
  <c r="B1" i="5"/>
  <c r="C1" i="5" s="1"/>
  <c r="D1" i="5" s="1"/>
  <c r="E1" i="5" s="1"/>
  <c r="F1" i="5" s="1"/>
  <c r="G1" i="5" s="1"/>
  <c r="H1" i="5" s="1"/>
  <c r="I1" i="5" s="1"/>
  <c r="J1" i="5" s="1"/>
  <c r="K1" i="5" s="1"/>
  <c r="A48" i="7"/>
  <c r="E26" i="7" l="1"/>
  <c r="E19" i="7"/>
  <c r="E22" i="7" s="1"/>
  <c r="E23" i="7" s="1"/>
  <c r="AI105" i="1"/>
  <c r="AJ105" i="1" s="1"/>
  <c r="AK105" i="1" s="1"/>
  <c r="AI77" i="1"/>
  <c r="C19" i="7"/>
  <c r="C26" i="7"/>
  <c r="D26" i="7"/>
  <c r="D19" i="7"/>
  <c r="G26" i="7"/>
  <c r="G19" i="7"/>
  <c r="B15" i="7"/>
  <c r="F19" i="7"/>
  <c r="F26" i="7"/>
  <c r="AI88" i="1"/>
  <c r="AI104" i="1"/>
  <c r="AI75" i="1"/>
  <c r="AI89" i="1"/>
  <c r="AI71" i="1"/>
  <c r="AI58" i="1"/>
  <c r="AI70" i="1"/>
  <c r="AI86" i="1"/>
  <c r="AI101" i="1"/>
  <c r="AI95" i="1"/>
  <c r="AI82" i="1"/>
  <c r="AI68" i="1"/>
  <c r="AI59" i="1"/>
  <c r="AI72" i="1"/>
  <c r="AI87" i="1"/>
  <c r="AI102" i="1"/>
  <c r="AI53" i="1"/>
  <c r="AI97" i="1"/>
  <c r="AI98" i="1"/>
  <c r="AI99" i="1"/>
  <c r="AI100" i="1"/>
  <c r="AI60" i="1"/>
  <c r="AI73" i="1"/>
  <c r="AI91" i="1"/>
  <c r="AI103" i="1"/>
  <c r="AI54" i="1"/>
  <c r="AI56" i="1"/>
  <c r="AI85" i="1"/>
  <c r="AI49" i="1"/>
  <c r="AI61" i="1"/>
  <c r="AI74" i="1"/>
  <c r="AI92" i="1"/>
  <c r="AI106" i="1"/>
  <c r="AI80" i="1"/>
  <c r="AI65" i="1"/>
  <c r="AI66" i="1"/>
  <c r="AI83" i="1"/>
  <c r="AI57" i="1"/>
  <c r="AI48" i="1"/>
  <c r="AI50" i="1"/>
  <c r="AI62" i="1"/>
  <c r="AI76" i="1"/>
  <c r="AI93" i="1"/>
  <c r="AI64" i="1"/>
  <c r="AI81" i="1"/>
  <c r="AI55" i="1"/>
  <c r="AI47" i="1"/>
  <c r="AI51" i="1"/>
  <c r="AI63" i="1"/>
  <c r="AI78" i="1"/>
  <c r="AI94" i="1"/>
  <c r="AI52" i="1"/>
  <c r="AI96" i="1"/>
  <c r="AI67" i="1"/>
  <c r="AI84" i="1"/>
  <c r="AI69" i="1"/>
  <c r="A49" i="7"/>
  <c r="E27" i="7" l="1"/>
  <c r="E28" i="7"/>
  <c r="F27" i="7"/>
  <c r="F22" i="7"/>
  <c r="F23" i="7" s="1"/>
  <c r="B17" i="7"/>
  <c r="G22" i="7"/>
  <c r="G23" i="7" s="1"/>
  <c r="G27" i="7"/>
  <c r="D22" i="7"/>
  <c r="D23" i="7" s="1"/>
  <c r="D27" i="7"/>
  <c r="C22" i="7"/>
  <c r="C23" i="7" s="1"/>
  <c r="C27" i="7"/>
  <c r="C28" i="7" s="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G4" i="1"/>
  <c r="A51" i="7"/>
  <c r="D28" i="7" l="1"/>
  <c r="G28" i="7"/>
  <c r="B18" i="7"/>
  <c r="F28" i="7"/>
  <c r="AF5" i="1"/>
  <c r="AJ5" i="1" s="1"/>
  <c r="AK5" i="1" s="1"/>
  <c r="AF6" i="1"/>
  <c r="AJ6" i="1" s="1"/>
  <c r="AK6" i="1" s="1"/>
  <c r="AF7" i="1"/>
  <c r="AJ7" i="1" s="1"/>
  <c r="AK7" i="1" s="1"/>
  <c r="AF8" i="1"/>
  <c r="AJ8" i="1" s="1"/>
  <c r="AK8" i="1" s="1"/>
  <c r="AF9" i="1"/>
  <c r="AJ9" i="1" s="1"/>
  <c r="AK9" i="1" s="1"/>
  <c r="AF10" i="1"/>
  <c r="AJ10" i="1" s="1"/>
  <c r="AK10" i="1" s="1"/>
  <c r="AF11" i="1"/>
  <c r="AJ11" i="1" s="1"/>
  <c r="AK11" i="1" s="1"/>
  <c r="AF12" i="1"/>
  <c r="AJ12" i="1" s="1"/>
  <c r="AK12" i="1" s="1"/>
  <c r="AF13" i="1"/>
  <c r="AJ13" i="1" s="1"/>
  <c r="AK13" i="1" s="1"/>
  <c r="AF14" i="1"/>
  <c r="AJ14" i="1" s="1"/>
  <c r="AK14" i="1" s="1"/>
  <c r="AF15" i="1"/>
  <c r="AJ15" i="1" s="1"/>
  <c r="AK15" i="1" s="1"/>
  <c r="AF16" i="1"/>
  <c r="AJ16" i="1" s="1"/>
  <c r="AK16" i="1" s="1"/>
  <c r="AF17" i="1"/>
  <c r="AJ17" i="1" s="1"/>
  <c r="AK17" i="1" s="1"/>
  <c r="AF18" i="1"/>
  <c r="AJ18" i="1" s="1"/>
  <c r="AK18" i="1" s="1"/>
  <c r="AF19" i="1"/>
  <c r="AJ19" i="1" s="1"/>
  <c r="AK19" i="1" s="1"/>
  <c r="AF20" i="1"/>
  <c r="AJ20" i="1" s="1"/>
  <c r="AK20" i="1" s="1"/>
  <c r="AF21" i="1"/>
  <c r="AJ21" i="1" s="1"/>
  <c r="AK21" i="1" s="1"/>
  <c r="AF22" i="1"/>
  <c r="AJ22" i="1" s="1"/>
  <c r="AK22" i="1" s="1"/>
  <c r="AF23" i="1"/>
  <c r="AJ23" i="1" s="1"/>
  <c r="AK23" i="1" s="1"/>
  <c r="AF24" i="1"/>
  <c r="AJ24" i="1" s="1"/>
  <c r="AK24" i="1" s="1"/>
  <c r="AF25" i="1"/>
  <c r="AJ25" i="1" s="1"/>
  <c r="AK25" i="1" s="1"/>
  <c r="AF26" i="1"/>
  <c r="AJ26" i="1" s="1"/>
  <c r="AK26" i="1" s="1"/>
  <c r="AF27" i="1"/>
  <c r="AJ27" i="1" s="1"/>
  <c r="AK27" i="1" s="1"/>
  <c r="AF28" i="1"/>
  <c r="AJ28" i="1" s="1"/>
  <c r="AK28" i="1" s="1"/>
  <c r="AF29" i="1"/>
  <c r="AJ29" i="1" s="1"/>
  <c r="AK29" i="1" s="1"/>
  <c r="AF30" i="1"/>
  <c r="AJ30" i="1" s="1"/>
  <c r="AK30" i="1" s="1"/>
  <c r="AF31" i="1"/>
  <c r="AJ31" i="1" s="1"/>
  <c r="AK31" i="1" s="1"/>
  <c r="AF32" i="1"/>
  <c r="AJ32" i="1" s="1"/>
  <c r="AK32" i="1" s="1"/>
  <c r="AF33" i="1"/>
  <c r="AJ33" i="1" s="1"/>
  <c r="AK33" i="1" s="1"/>
  <c r="AF34" i="1"/>
  <c r="AJ34" i="1" s="1"/>
  <c r="AK34" i="1" s="1"/>
  <c r="AF4" i="1"/>
  <c r="AJ4" i="1" s="1"/>
  <c r="A52" i="7"/>
  <c r="B19" i="7" l="1"/>
  <c r="B26" i="7"/>
  <c r="AK4" i="1"/>
  <c r="AH7" i="1"/>
  <c r="AH8" i="1"/>
  <c r="AH11" i="1"/>
  <c r="AH12" i="1"/>
  <c r="AH15" i="1"/>
  <c r="AH16" i="1"/>
  <c r="AH19" i="1"/>
  <c r="AH20" i="1"/>
  <c r="A60" i="7"/>
  <c r="A53" i="7"/>
  <c r="B27" i="7" l="1"/>
  <c r="B22" i="7"/>
  <c r="AH4" i="1"/>
  <c r="AH17" i="1"/>
  <c r="AH13" i="1"/>
  <c r="AH9" i="1"/>
  <c r="AH5" i="1"/>
  <c r="AH18" i="1"/>
  <c r="AH14" i="1"/>
  <c r="AH10" i="1"/>
  <c r="AH6" i="1"/>
  <c r="W1" i="1"/>
  <c r="I3" i="1"/>
  <c r="P3" i="1"/>
  <c r="J3" i="1"/>
  <c r="K3" i="1"/>
  <c r="K79" i="1" s="1"/>
  <c r="R3" i="1"/>
  <c r="R1" i="1" s="1"/>
  <c r="L3" i="1"/>
  <c r="S3" i="1"/>
  <c r="M3" i="1"/>
  <c r="T3" i="1"/>
  <c r="N3" i="1"/>
  <c r="U3" i="1"/>
  <c r="P2" i="1"/>
  <c r="I2" i="1"/>
  <c r="A61" i="7"/>
  <c r="A56" i="7"/>
  <c r="R79" i="1" l="1"/>
  <c r="X4" i="1"/>
  <c r="X79" i="1"/>
  <c r="Z79" i="1" s="1"/>
  <c r="W79" i="1"/>
  <c r="N105" i="1"/>
  <c r="N79" i="1"/>
  <c r="J105" i="1"/>
  <c r="Q105" i="1" s="1"/>
  <c r="J79" i="1"/>
  <c r="Q79" i="1" s="1"/>
  <c r="L105" i="1"/>
  <c r="L79" i="1"/>
  <c r="M105" i="1"/>
  <c r="M79" i="1"/>
  <c r="K105" i="1"/>
  <c r="I105" i="1"/>
  <c r="I79" i="1"/>
  <c r="B23" i="7"/>
  <c r="W4" i="1"/>
  <c r="P1" i="1"/>
  <c r="U1" i="1"/>
  <c r="T1" i="1"/>
  <c r="X105" i="1"/>
  <c r="Z105" i="1" s="1"/>
  <c r="X54" i="1"/>
  <c r="Z54" i="1" s="1"/>
  <c r="W90" i="1"/>
  <c r="Y90" i="1" s="1"/>
  <c r="W105" i="1"/>
  <c r="I104" i="1"/>
  <c r="I90" i="1"/>
  <c r="X104" i="1"/>
  <c r="Z104" i="1" s="1"/>
  <c r="X90" i="1"/>
  <c r="Z90" i="1" s="1"/>
  <c r="X47" i="1"/>
  <c r="Z47" i="1" s="1"/>
  <c r="N104" i="1"/>
  <c r="N90" i="1"/>
  <c r="M104" i="1"/>
  <c r="M90" i="1"/>
  <c r="L104" i="1"/>
  <c r="L90" i="1"/>
  <c r="K104" i="1"/>
  <c r="K90" i="1"/>
  <c r="R90" i="1" s="1"/>
  <c r="J104" i="1"/>
  <c r="J90" i="1"/>
  <c r="Q90" i="1" s="1"/>
  <c r="W104" i="1"/>
  <c r="Y104" i="1" s="1"/>
  <c r="K88" i="1"/>
  <c r="K89" i="1"/>
  <c r="J77" i="1"/>
  <c r="J89" i="1"/>
  <c r="J88" i="1"/>
  <c r="I89" i="1"/>
  <c r="I88" i="1"/>
  <c r="N89" i="1"/>
  <c r="N88" i="1"/>
  <c r="W88" i="1"/>
  <c r="Y88" i="1" s="1"/>
  <c r="W89" i="1"/>
  <c r="Y89" i="1" s="1"/>
  <c r="X88" i="1"/>
  <c r="Z88" i="1" s="1"/>
  <c r="X89" i="1"/>
  <c r="Z89" i="1" s="1"/>
  <c r="M88" i="1"/>
  <c r="M89" i="1"/>
  <c r="L88" i="1"/>
  <c r="L89" i="1"/>
  <c r="K75" i="1"/>
  <c r="K77" i="1"/>
  <c r="I75" i="1"/>
  <c r="I77" i="1"/>
  <c r="X75" i="1"/>
  <c r="Z75" i="1" s="1"/>
  <c r="X77" i="1"/>
  <c r="Z77" i="1" s="1"/>
  <c r="N75" i="1"/>
  <c r="N77" i="1"/>
  <c r="W77" i="1"/>
  <c r="Y77" i="1" s="1"/>
  <c r="M75" i="1"/>
  <c r="M77" i="1"/>
  <c r="L75" i="1"/>
  <c r="L77" i="1"/>
  <c r="J4" i="1"/>
  <c r="Q4" i="1" s="1"/>
  <c r="J75" i="1"/>
  <c r="W71" i="1"/>
  <c r="Y71" i="1" s="1"/>
  <c r="W75" i="1"/>
  <c r="Y75" i="1" s="1"/>
  <c r="M87" i="1"/>
  <c r="M71" i="1"/>
  <c r="L87" i="1"/>
  <c r="L71" i="1"/>
  <c r="K87" i="1"/>
  <c r="K71" i="1"/>
  <c r="N87" i="1"/>
  <c r="N71" i="1"/>
  <c r="J87" i="1"/>
  <c r="J71" i="1"/>
  <c r="I87" i="1"/>
  <c r="I71" i="1"/>
  <c r="X71" i="1"/>
  <c r="Z71" i="1" s="1"/>
  <c r="X69" i="1"/>
  <c r="Z69" i="1" s="1"/>
  <c r="X87" i="1"/>
  <c r="Z87" i="1" s="1"/>
  <c r="W69" i="1"/>
  <c r="Y69" i="1" s="1"/>
  <c r="W87" i="1"/>
  <c r="Y87" i="1" s="1"/>
  <c r="M103" i="1"/>
  <c r="M69" i="1"/>
  <c r="L103" i="1"/>
  <c r="L69" i="1"/>
  <c r="K103" i="1"/>
  <c r="K69" i="1"/>
  <c r="J103" i="1"/>
  <c r="J69" i="1"/>
  <c r="I103" i="1"/>
  <c r="I69" i="1"/>
  <c r="N103" i="1"/>
  <c r="N69" i="1"/>
  <c r="X86" i="1"/>
  <c r="Z86" i="1" s="1"/>
  <c r="X103" i="1"/>
  <c r="Z103" i="1" s="1"/>
  <c r="W86" i="1"/>
  <c r="Y86" i="1" s="1"/>
  <c r="W103" i="1"/>
  <c r="Y103" i="1" s="1"/>
  <c r="M102" i="1"/>
  <c r="M86" i="1"/>
  <c r="K102" i="1"/>
  <c r="K86" i="1"/>
  <c r="L102" i="1"/>
  <c r="L86" i="1"/>
  <c r="J102" i="1"/>
  <c r="J86" i="1"/>
  <c r="I102" i="1"/>
  <c r="I86" i="1"/>
  <c r="N102" i="1"/>
  <c r="N86" i="1"/>
  <c r="X65" i="1"/>
  <c r="Z65" i="1" s="1"/>
  <c r="X102" i="1"/>
  <c r="Z102" i="1" s="1"/>
  <c r="W102" i="1"/>
  <c r="Y102" i="1" s="1"/>
  <c r="K63" i="1"/>
  <c r="K65" i="1"/>
  <c r="L63" i="1"/>
  <c r="L65" i="1"/>
  <c r="J63" i="1"/>
  <c r="J65" i="1"/>
  <c r="I63" i="1"/>
  <c r="I65" i="1"/>
  <c r="N63" i="1"/>
  <c r="N65" i="1"/>
  <c r="W63" i="1"/>
  <c r="Y63" i="1" s="1"/>
  <c r="W65" i="1"/>
  <c r="Y65" i="1" s="1"/>
  <c r="M63" i="1"/>
  <c r="M65" i="1"/>
  <c r="K95" i="1"/>
  <c r="X63" i="1"/>
  <c r="Z63" i="1" s="1"/>
  <c r="L83" i="1"/>
  <c r="L85" i="1"/>
  <c r="K83" i="1"/>
  <c r="K85" i="1"/>
  <c r="J83" i="1"/>
  <c r="J85" i="1"/>
  <c r="I83" i="1"/>
  <c r="I85" i="1"/>
  <c r="X83" i="1"/>
  <c r="Z83" i="1" s="1"/>
  <c r="X85" i="1"/>
  <c r="Z85" i="1" s="1"/>
  <c r="N83" i="1"/>
  <c r="N85" i="1"/>
  <c r="W83" i="1"/>
  <c r="Y83" i="1" s="1"/>
  <c r="W85" i="1"/>
  <c r="Y85" i="1" s="1"/>
  <c r="M83" i="1"/>
  <c r="M85" i="1"/>
  <c r="X82" i="1"/>
  <c r="Z82" i="1" s="1"/>
  <c r="X60" i="1"/>
  <c r="Z60" i="1" s="1"/>
  <c r="N82" i="1"/>
  <c r="N60" i="1"/>
  <c r="L82" i="1"/>
  <c r="L60" i="1"/>
  <c r="J82" i="1"/>
  <c r="J60" i="1"/>
  <c r="W82" i="1"/>
  <c r="Y82" i="1" s="1"/>
  <c r="W60" i="1"/>
  <c r="Y60" i="1" s="1"/>
  <c r="M82" i="1"/>
  <c r="M60" i="1"/>
  <c r="K82" i="1"/>
  <c r="K60" i="1"/>
  <c r="I82" i="1"/>
  <c r="I60" i="1"/>
  <c r="M59" i="1"/>
  <c r="W58" i="1"/>
  <c r="Y58" i="1" s="1"/>
  <c r="N101" i="1"/>
  <c r="N58" i="1"/>
  <c r="X101" i="1"/>
  <c r="Z101" i="1" s="1"/>
  <c r="X58" i="1"/>
  <c r="Z58" i="1" s="1"/>
  <c r="L101" i="1"/>
  <c r="L58" i="1"/>
  <c r="J101" i="1"/>
  <c r="J58" i="1"/>
  <c r="M101" i="1"/>
  <c r="M58" i="1"/>
  <c r="K101" i="1"/>
  <c r="K58" i="1"/>
  <c r="I101" i="1"/>
  <c r="I58" i="1"/>
  <c r="W101" i="1"/>
  <c r="Y101" i="1" s="1"/>
  <c r="N30" i="1"/>
  <c r="N50" i="1"/>
  <c r="N81" i="1"/>
  <c r="N55" i="1"/>
  <c r="N100" i="1"/>
  <c r="N80" i="1"/>
  <c r="N78" i="1"/>
  <c r="N53" i="1"/>
  <c r="X81" i="1"/>
  <c r="Z81" i="1" s="1"/>
  <c r="X53" i="1"/>
  <c r="Z53" i="1" s="1"/>
  <c r="X80" i="1"/>
  <c r="Z80" i="1" s="1"/>
  <c r="X55" i="1"/>
  <c r="Z55" i="1" s="1"/>
  <c r="X100" i="1"/>
  <c r="Z100" i="1" s="1"/>
  <c r="X78" i="1"/>
  <c r="Z78" i="1" s="1"/>
  <c r="X20" i="1"/>
  <c r="Z20" i="1" s="1"/>
  <c r="L81" i="1"/>
  <c r="L53" i="1"/>
  <c r="L80" i="1"/>
  <c r="L55" i="1"/>
  <c r="L100" i="1"/>
  <c r="L78" i="1"/>
  <c r="J81" i="1"/>
  <c r="J55" i="1"/>
  <c r="J100" i="1"/>
  <c r="J80" i="1"/>
  <c r="J78" i="1"/>
  <c r="J53" i="1"/>
  <c r="W81" i="1"/>
  <c r="Y81" i="1" s="1"/>
  <c r="W80" i="1"/>
  <c r="Y80" i="1" s="1"/>
  <c r="W78" i="1"/>
  <c r="Y78" i="1" s="1"/>
  <c r="W55" i="1"/>
  <c r="Y55" i="1" s="1"/>
  <c r="W53" i="1"/>
  <c r="Y53" i="1" s="1"/>
  <c r="W100" i="1"/>
  <c r="Y100" i="1" s="1"/>
  <c r="X28" i="1"/>
  <c r="Z28" i="1" s="1"/>
  <c r="N57" i="1"/>
  <c r="N61" i="1"/>
  <c r="M50" i="1"/>
  <c r="M81" i="1"/>
  <c r="M78" i="1"/>
  <c r="M55" i="1"/>
  <c r="M100" i="1"/>
  <c r="M80" i="1"/>
  <c r="M53" i="1"/>
  <c r="K50" i="1"/>
  <c r="K81" i="1"/>
  <c r="K80" i="1"/>
  <c r="K78" i="1"/>
  <c r="K55" i="1"/>
  <c r="K53" i="1"/>
  <c r="K100" i="1"/>
  <c r="I50" i="1"/>
  <c r="I81" i="1"/>
  <c r="I78" i="1"/>
  <c r="I55" i="1"/>
  <c r="I100" i="1"/>
  <c r="I80" i="1"/>
  <c r="I53" i="1"/>
  <c r="L92" i="1"/>
  <c r="L50" i="1"/>
  <c r="J12" i="1"/>
  <c r="J50" i="1"/>
  <c r="W5" i="1"/>
  <c r="Y5" i="1" s="1"/>
  <c r="W50" i="1"/>
  <c r="Y50" i="1" s="1"/>
  <c r="L49" i="1"/>
  <c r="J29" i="1"/>
  <c r="X50" i="1"/>
  <c r="Z50" i="1" s="1"/>
  <c r="J41" i="1"/>
  <c r="L66" i="1"/>
  <c r="L34" i="1"/>
  <c r="J20" i="1"/>
  <c r="L25" i="1"/>
  <c r="J73" i="1"/>
  <c r="J48" i="1"/>
  <c r="J76" i="1"/>
  <c r="J99" i="1"/>
  <c r="J38" i="1"/>
  <c r="J23" i="1"/>
  <c r="L93" i="1"/>
  <c r="J74" i="1"/>
  <c r="J61" i="1"/>
  <c r="L46" i="1"/>
  <c r="L37" i="1"/>
  <c r="J31" i="1"/>
  <c r="J28" i="1"/>
  <c r="J21" i="1"/>
  <c r="L17" i="1"/>
  <c r="L9" i="1"/>
  <c r="J95" i="1"/>
  <c r="M18" i="1"/>
  <c r="M76" i="1"/>
  <c r="M73" i="1"/>
  <c r="M99" i="1"/>
  <c r="M48" i="1"/>
  <c r="K52" i="1"/>
  <c r="K73" i="1"/>
  <c r="K99" i="1"/>
  <c r="K48" i="1"/>
  <c r="K76" i="1"/>
  <c r="I106" i="1"/>
  <c r="I76" i="1"/>
  <c r="I73" i="1"/>
  <c r="I99" i="1"/>
  <c r="I48" i="1"/>
  <c r="L99" i="1"/>
  <c r="L48" i="1"/>
  <c r="L76" i="1"/>
  <c r="L73" i="1"/>
  <c r="W48" i="1"/>
  <c r="Y48" i="1" s="1"/>
  <c r="W76" i="1"/>
  <c r="Y76" i="1" s="1"/>
  <c r="W99" i="1"/>
  <c r="Y99" i="1" s="1"/>
  <c r="W73" i="1"/>
  <c r="Y73" i="1" s="1"/>
  <c r="J49" i="1"/>
  <c r="L33" i="1"/>
  <c r="L28" i="1"/>
  <c r="L18" i="1"/>
  <c r="L10" i="1"/>
  <c r="L72" i="1"/>
  <c r="J51" i="1"/>
  <c r="L44" i="1"/>
  <c r="J37" i="1"/>
  <c r="L26" i="1"/>
  <c r="L20" i="1"/>
  <c r="J13" i="1"/>
  <c r="J5" i="1"/>
  <c r="N54" i="1"/>
  <c r="N73" i="1"/>
  <c r="N99" i="1"/>
  <c r="N48" i="1"/>
  <c r="N76" i="1"/>
  <c r="X92" i="1"/>
  <c r="Z92" i="1" s="1"/>
  <c r="X99" i="1"/>
  <c r="Z99" i="1" s="1"/>
  <c r="X48" i="1"/>
  <c r="Z48" i="1" s="1"/>
  <c r="X73" i="1"/>
  <c r="Z73" i="1" s="1"/>
  <c r="X76" i="1"/>
  <c r="Z76" i="1" s="1"/>
  <c r="M8" i="1"/>
  <c r="N22" i="1"/>
  <c r="M10" i="1"/>
  <c r="N6" i="1"/>
  <c r="X43" i="1"/>
  <c r="Z43" i="1" s="1"/>
  <c r="W9" i="1"/>
  <c r="Y9" i="1" s="1"/>
  <c r="X49" i="1"/>
  <c r="Z49" i="1" s="1"/>
  <c r="K41" i="1"/>
  <c r="M51" i="1"/>
  <c r="K47" i="1"/>
  <c r="I30" i="1"/>
  <c r="I66" i="1"/>
  <c r="M16" i="1"/>
  <c r="I72" i="1"/>
  <c r="I43" i="1"/>
  <c r="I68" i="1"/>
  <c r="M49" i="1"/>
  <c r="K33" i="1"/>
  <c r="K21" i="1"/>
  <c r="I20" i="1"/>
  <c r="I14" i="1"/>
  <c r="I74" i="1"/>
  <c r="I56" i="1"/>
  <c r="I40" i="1"/>
  <c r="K35" i="1"/>
  <c r="K25" i="1"/>
  <c r="M4" i="1"/>
  <c r="N106" i="1"/>
  <c r="X24" i="1"/>
  <c r="Z24" i="1" s="1"/>
  <c r="X84" i="1"/>
  <c r="Z84" i="1" s="1"/>
  <c r="M66" i="1"/>
  <c r="I46" i="1"/>
  <c r="M37" i="1"/>
  <c r="M34" i="1"/>
  <c r="K31" i="1"/>
  <c r="K29" i="1"/>
  <c r="M26" i="1"/>
  <c r="M24" i="1"/>
  <c r="I16" i="1"/>
  <c r="M12" i="1"/>
  <c r="M6" i="1"/>
  <c r="K94" i="1"/>
  <c r="K92" i="1"/>
  <c r="N74" i="1"/>
  <c r="K72" i="1"/>
  <c r="I61" i="1"/>
  <c r="I51" i="1"/>
  <c r="I49" i="1"/>
  <c r="M40" i="1"/>
  <c r="I18" i="1"/>
  <c r="M14" i="1"/>
  <c r="K9" i="1"/>
  <c r="M93" i="1"/>
  <c r="K84" i="1"/>
  <c r="W13" i="1"/>
  <c r="Y13" i="1" s="1"/>
  <c r="X37" i="1"/>
  <c r="Z37" i="1" s="1"/>
  <c r="X94" i="1"/>
  <c r="Z94" i="1" s="1"/>
  <c r="M74" i="1"/>
  <c r="M72" i="1"/>
  <c r="M68" i="1"/>
  <c r="M61" i="1"/>
  <c r="M56" i="1"/>
  <c r="K51" i="1"/>
  <c r="M46" i="1"/>
  <c r="K44" i="1"/>
  <c r="K38" i="1"/>
  <c r="M32" i="1"/>
  <c r="I28" i="1"/>
  <c r="I26" i="1"/>
  <c r="I24" i="1"/>
  <c r="M22" i="1"/>
  <c r="M20" i="1"/>
  <c r="K19" i="1"/>
  <c r="K15" i="1"/>
  <c r="K13" i="1"/>
  <c r="I12" i="1"/>
  <c r="I10" i="1"/>
  <c r="I8" i="1"/>
  <c r="I6" i="1"/>
  <c r="M91" i="1"/>
  <c r="M106" i="1"/>
  <c r="M52" i="1"/>
  <c r="K74" i="1"/>
  <c r="K68" i="1"/>
  <c r="K66" i="1"/>
  <c r="K61" i="1"/>
  <c r="K56" i="1"/>
  <c r="M43" i="1"/>
  <c r="N40" i="1"/>
  <c r="I37" i="1"/>
  <c r="I34" i="1"/>
  <c r="I32" i="1"/>
  <c r="M30" i="1"/>
  <c r="M28" i="1"/>
  <c r="K27" i="1"/>
  <c r="K23" i="1"/>
  <c r="I22" i="1"/>
  <c r="K17" i="1"/>
  <c r="N14" i="1"/>
  <c r="K11" i="1"/>
  <c r="K7" i="1"/>
  <c r="K5" i="1"/>
  <c r="I4" i="1"/>
  <c r="I93" i="1"/>
  <c r="I91" i="1"/>
  <c r="W17" i="1"/>
  <c r="Y17" i="1" s="1"/>
  <c r="X32" i="1"/>
  <c r="Z32" i="1" s="1"/>
  <c r="X66" i="1"/>
  <c r="Z66" i="1" s="1"/>
  <c r="N51" i="1"/>
  <c r="N41" i="1"/>
  <c r="N31" i="1"/>
  <c r="N23" i="1"/>
  <c r="N15" i="1"/>
  <c r="N7" i="1"/>
  <c r="N84" i="1"/>
  <c r="X5" i="1"/>
  <c r="Z5" i="1" s="1"/>
  <c r="X9" i="1"/>
  <c r="Z9" i="1" s="1"/>
  <c r="X13" i="1"/>
  <c r="Z13" i="1" s="1"/>
  <c r="X17" i="1"/>
  <c r="Z17" i="1" s="1"/>
  <c r="W21" i="1"/>
  <c r="Y21" i="1" s="1"/>
  <c r="W25" i="1"/>
  <c r="Y25" i="1" s="1"/>
  <c r="W29" i="1"/>
  <c r="Y29" i="1" s="1"/>
  <c r="W33" i="1"/>
  <c r="Y33" i="1" s="1"/>
  <c r="W38" i="1"/>
  <c r="Y38" i="1" s="1"/>
  <c r="W44" i="1"/>
  <c r="Y44" i="1" s="1"/>
  <c r="W51" i="1"/>
  <c r="Y51" i="1" s="1"/>
  <c r="W68" i="1"/>
  <c r="Y68" i="1" s="1"/>
  <c r="W91" i="1"/>
  <c r="Y91" i="1" s="1"/>
  <c r="W106" i="1"/>
  <c r="Y106" i="1" s="1"/>
  <c r="N39" i="1"/>
  <c r="L45" i="1"/>
  <c r="L70" i="1"/>
  <c r="L67" i="1"/>
  <c r="L98" i="1"/>
  <c r="L106" i="1"/>
  <c r="L5" i="1"/>
  <c r="L6" i="1"/>
  <c r="L13" i="1"/>
  <c r="L14" i="1"/>
  <c r="L21" i="1"/>
  <c r="L22" i="1"/>
  <c r="L29" i="1"/>
  <c r="L30" i="1"/>
  <c r="L38" i="1"/>
  <c r="L40" i="1"/>
  <c r="L84" i="1"/>
  <c r="L91" i="1"/>
  <c r="L7" i="1"/>
  <c r="L8" i="1"/>
  <c r="L15" i="1"/>
  <c r="L16" i="1"/>
  <c r="L23" i="1"/>
  <c r="L24" i="1"/>
  <c r="L31" i="1"/>
  <c r="L32" i="1"/>
  <c r="L41" i="1"/>
  <c r="L43" i="1"/>
  <c r="L51" i="1"/>
  <c r="L61" i="1"/>
  <c r="L68" i="1"/>
  <c r="J67" i="1"/>
  <c r="J70" i="1"/>
  <c r="J98" i="1"/>
  <c r="J45" i="1"/>
  <c r="J91" i="1"/>
  <c r="J92" i="1"/>
  <c r="J8" i="1"/>
  <c r="J9" i="1"/>
  <c r="J16" i="1"/>
  <c r="J17" i="1"/>
  <c r="J24" i="1"/>
  <c r="J25" i="1"/>
  <c r="J32" i="1"/>
  <c r="J33" i="1"/>
  <c r="J43" i="1"/>
  <c r="J44" i="1"/>
  <c r="J57" i="1"/>
  <c r="J52" i="1"/>
  <c r="J93" i="1"/>
  <c r="J94" i="1"/>
  <c r="J10" i="1"/>
  <c r="J11" i="1"/>
  <c r="J18" i="1"/>
  <c r="J19" i="1"/>
  <c r="J26" i="1"/>
  <c r="J27" i="1"/>
  <c r="J34" i="1"/>
  <c r="J35" i="1"/>
  <c r="J46" i="1"/>
  <c r="J47" i="1"/>
  <c r="J56" i="1"/>
  <c r="J66" i="1"/>
  <c r="J72" i="1"/>
  <c r="W70" i="1"/>
  <c r="Y70" i="1" s="1"/>
  <c r="W98" i="1"/>
  <c r="Y98" i="1" s="1"/>
  <c r="W67" i="1"/>
  <c r="Y67" i="1" s="1"/>
  <c r="W45" i="1"/>
  <c r="Y45" i="1" s="1"/>
  <c r="W54" i="1"/>
  <c r="Y54" i="1" s="1"/>
  <c r="W52" i="1"/>
  <c r="Y52" i="1" s="1"/>
  <c r="W36" i="1"/>
  <c r="Y36" i="1" s="1"/>
  <c r="W94" i="1"/>
  <c r="Y94" i="1" s="1"/>
  <c r="W92" i="1"/>
  <c r="Y92" i="1" s="1"/>
  <c r="W84" i="1"/>
  <c r="Y84" i="1" s="1"/>
  <c r="W72" i="1"/>
  <c r="Y72" i="1" s="1"/>
  <c r="W66" i="1"/>
  <c r="Y66" i="1" s="1"/>
  <c r="W56" i="1"/>
  <c r="Y56" i="1" s="1"/>
  <c r="W49" i="1"/>
  <c r="Y49" i="1" s="1"/>
  <c r="W46" i="1"/>
  <c r="Y46" i="1" s="1"/>
  <c r="W43" i="1"/>
  <c r="Y43" i="1" s="1"/>
  <c r="W40" i="1"/>
  <c r="Y40" i="1" s="1"/>
  <c r="W37" i="1"/>
  <c r="Y37" i="1" s="1"/>
  <c r="W34" i="1"/>
  <c r="Y34" i="1" s="1"/>
  <c r="W32" i="1"/>
  <c r="Y32" i="1" s="1"/>
  <c r="W30" i="1"/>
  <c r="Y30" i="1" s="1"/>
  <c r="W28" i="1"/>
  <c r="Y28" i="1" s="1"/>
  <c r="W26" i="1"/>
  <c r="Y26" i="1" s="1"/>
  <c r="W24" i="1"/>
  <c r="Y24" i="1" s="1"/>
  <c r="W22" i="1"/>
  <c r="Y22" i="1" s="1"/>
  <c r="W20" i="1"/>
  <c r="Y20" i="1" s="1"/>
  <c r="W39" i="1"/>
  <c r="Y39" i="1" s="1"/>
  <c r="W18" i="1"/>
  <c r="Y18" i="1" s="1"/>
  <c r="W16" i="1"/>
  <c r="Y16" i="1" s="1"/>
  <c r="W14" i="1"/>
  <c r="Y14" i="1" s="1"/>
  <c r="W12" i="1"/>
  <c r="Y12" i="1" s="1"/>
  <c r="W10" i="1"/>
  <c r="Y10" i="1" s="1"/>
  <c r="W8" i="1"/>
  <c r="Y8" i="1" s="1"/>
  <c r="W6" i="1"/>
  <c r="Y6" i="1" s="1"/>
  <c r="L74" i="1"/>
  <c r="N72" i="1"/>
  <c r="J68" i="1"/>
  <c r="L56" i="1"/>
  <c r="L47" i="1"/>
  <c r="N43" i="1"/>
  <c r="J40" i="1"/>
  <c r="L35" i="1"/>
  <c r="N32" i="1"/>
  <c r="J30" i="1"/>
  <c r="L27" i="1"/>
  <c r="N24" i="1"/>
  <c r="J22" i="1"/>
  <c r="L19" i="1"/>
  <c r="N16" i="1"/>
  <c r="J14" i="1"/>
  <c r="L11" i="1"/>
  <c r="N8" i="1"/>
  <c r="J6" i="1"/>
  <c r="L94" i="1"/>
  <c r="N91" i="1"/>
  <c r="J106" i="1"/>
  <c r="W7" i="1"/>
  <c r="Y7" i="1" s="1"/>
  <c r="W11" i="1"/>
  <c r="Y11" i="1" s="1"/>
  <c r="W15" i="1"/>
  <c r="Y15" i="1" s="1"/>
  <c r="X18" i="1"/>
  <c r="Z18" i="1" s="1"/>
  <c r="X22" i="1"/>
  <c r="Z22" i="1" s="1"/>
  <c r="X26" i="1"/>
  <c r="Z26" i="1" s="1"/>
  <c r="X30" i="1"/>
  <c r="Z30" i="1" s="1"/>
  <c r="X34" i="1"/>
  <c r="Z34" i="1" s="1"/>
  <c r="X40" i="1"/>
  <c r="Z40" i="1" s="1"/>
  <c r="X46" i="1"/>
  <c r="Z46" i="1" s="1"/>
  <c r="X56" i="1"/>
  <c r="Z56" i="1" s="1"/>
  <c r="X72" i="1"/>
  <c r="Z72" i="1" s="1"/>
  <c r="J36" i="1"/>
  <c r="J39" i="1"/>
  <c r="N95" i="1"/>
  <c r="N45" i="1"/>
  <c r="N70" i="1"/>
  <c r="N98" i="1"/>
  <c r="N67" i="1"/>
  <c r="N36" i="1"/>
  <c r="N93" i="1"/>
  <c r="N94" i="1"/>
  <c r="N10" i="1"/>
  <c r="N11" i="1"/>
  <c r="N18" i="1"/>
  <c r="N19" i="1"/>
  <c r="N26" i="1"/>
  <c r="N27" i="1"/>
  <c r="N34" i="1"/>
  <c r="N35" i="1"/>
  <c r="N46" i="1"/>
  <c r="N47" i="1"/>
  <c r="N4" i="1"/>
  <c r="N5" i="1"/>
  <c r="N12" i="1"/>
  <c r="N13" i="1"/>
  <c r="N20" i="1"/>
  <c r="N21" i="1"/>
  <c r="N28" i="1"/>
  <c r="N29" i="1"/>
  <c r="N37" i="1"/>
  <c r="N38" i="1"/>
  <c r="N49" i="1"/>
  <c r="N56" i="1"/>
  <c r="N66" i="1"/>
  <c r="X57" i="1"/>
  <c r="Z57" i="1" s="1"/>
  <c r="X45" i="1"/>
  <c r="Z45" i="1" s="1"/>
  <c r="X98" i="1"/>
  <c r="Z98" i="1" s="1"/>
  <c r="X67" i="1"/>
  <c r="Z67" i="1" s="1"/>
  <c r="X70" i="1"/>
  <c r="Z70" i="1" s="1"/>
  <c r="X96" i="1"/>
  <c r="Z96" i="1" s="1"/>
  <c r="X16" i="1"/>
  <c r="Z16" i="1" s="1"/>
  <c r="X14" i="1"/>
  <c r="Z14" i="1" s="1"/>
  <c r="X12" i="1"/>
  <c r="Z12" i="1" s="1"/>
  <c r="X10" i="1"/>
  <c r="Z10" i="1" s="1"/>
  <c r="X8" i="1"/>
  <c r="Z8" i="1" s="1"/>
  <c r="X6" i="1"/>
  <c r="Z6" i="1" s="1"/>
  <c r="Z4" i="1"/>
  <c r="X95" i="1"/>
  <c r="Z95" i="1" s="1"/>
  <c r="X106" i="1"/>
  <c r="Z106" i="1" s="1"/>
  <c r="X93" i="1"/>
  <c r="Z93" i="1" s="1"/>
  <c r="X91" i="1"/>
  <c r="Z91" i="1" s="1"/>
  <c r="X74" i="1"/>
  <c r="Z74" i="1" s="1"/>
  <c r="X68" i="1"/>
  <c r="Z68" i="1" s="1"/>
  <c r="X61" i="1"/>
  <c r="Z61" i="1" s="1"/>
  <c r="X51" i="1"/>
  <c r="Z51" i="1" s="1"/>
  <c r="X44" i="1"/>
  <c r="Z44" i="1" s="1"/>
  <c r="X41" i="1"/>
  <c r="Z41" i="1" s="1"/>
  <c r="X38" i="1"/>
  <c r="Z38" i="1" s="1"/>
  <c r="X35" i="1"/>
  <c r="Z35" i="1" s="1"/>
  <c r="X33" i="1"/>
  <c r="Z33" i="1" s="1"/>
  <c r="X31" i="1"/>
  <c r="Z31" i="1" s="1"/>
  <c r="X29" i="1"/>
  <c r="Z29" i="1" s="1"/>
  <c r="X27" i="1"/>
  <c r="Z27" i="1" s="1"/>
  <c r="X25" i="1"/>
  <c r="Z25" i="1" s="1"/>
  <c r="X23" i="1"/>
  <c r="Z23" i="1" s="1"/>
  <c r="X21" i="1"/>
  <c r="Z21" i="1" s="1"/>
  <c r="X19" i="1"/>
  <c r="Z19" i="1" s="1"/>
  <c r="N68" i="1"/>
  <c r="N44" i="1"/>
  <c r="N33" i="1"/>
  <c r="N25" i="1"/>
  <c r="N17" i="1"/>
  <c r="J15" i="1"/>
  <c r="L12" i="1"/>
  <c r="N9" i="1"/>
  <c r="J7" i="1"/>
  <c r="L4" i="1"/>
  <c r="N92" i="1"/>
  <c r="J84" i="1"/>
  <c r="X7" i="1"/>
  <c r="Z7" i="1" s="1"/>
  <c r="X11" i="1"/>
  <c r="Z11" i="1" s="1"/>
  <c r="X15" i="1"/>
  <c r="Z15" i="1" s="1"/>
  <c r="W19" i="1"/>
  <c r="Y19" i="1" s="1"/>
  <c r="W23" i="1"/>
  <c r="Y23" i="1" s="1"/>
  <c r="W27" i="1"/>
  <c r="Y27" i="1" s="1"/>
  <c r="W31" i="1"/>
  <c r="Y31" i="1" s="1"/>
  <c r="W35" i="1"/>
  <c r="Y35" i="1" s="1"/>
  <c r="W41" i="1"/>
  <c r="Y41" i="1" s="1"/>
  <c r="W47" i="1"/>
  <c r="Y47" i="1" s="1"/>
  <c r="W61" i="1"/>
  <c r="Y61" i="1" s="1"/>
  <c r="W74" i="1"/>
  <c r="Y74" i="1" s="1"/>
  <c r="W93" i="1"/>
  <c r="Y93" i="1" s="1"/>
  <c r="X36" i="1"/>
  <c r="Z36" i="1" s="1"/>
  <c r="J54" i="1"/>
  <c r="M67" i="1"/>
  <c r="M98" i="1"/>
  <c r="M70" i="1"/>
  <c r="M45" i="1"/>
  <c r="K54" i="1"/>
  <c r="K70" i="1"/>
  <c r="K98" i="1"/>
  <c r="K45" i="1"/>
  <c r="K67" i="1"/>
  <c r="I67" i="1"/>
  <c r="I45" i="1"/>
  <c r="I70" i="1"/>
  <c r="I98" i="1"/>
  <c r="M39" i="1"/>
  <c r="M54" i="1"/>
  <c r="M36" i="1"/>
  <c r="N52" i="1"/>
  <c r="X52" i="1"/>
  <c r="Z52" i="1" s="1"/>
  <c r="M97" i="1"/>
  <c r="M62" i="1"/>
  <c r="M64" i="1"/>
  <c r="M42" i="1"/>
  <c r="M95" i="1"/>
  <c r="M96" i="1"/>
  <c r="M57" i="1"/>
  <c r="M84" i="1"/>
  <c r="M92" i="1"/>
  <c r="M94" i="1"/>
  <c r="M5" i="1"/>
  <c r="M7" i="1"/>
  <c r="M9" i="1"/>
  <c r="M11" i="1"/>
  <c r="M13" i="1"/>
  <c r="M15" i="1"/>
  <c r="M17" i="1"/>
  <c r="M19" i="1"/>
  <c r="M21" i="1"/>
  <c r="M23" i="1"/>
  <c r="M25" i="1"/>
  <c r="M27" i="1"/>
  <c r="M29" i="1"/>
  <c r="M31" i="1"/>
  <c r="M33" i="1"/>
  <c r="M35" i="1"/>
  <c r="M38" i="1"/>
  <c r="M41" i="1"/>
  <c r="M44" i="1"/>
  <c r="M47" i="1"/>
  <c r="K59" i="1"/>
  <c r="K62" i="1"/>
  <c r="K42" i="1"/>
  <c r="K97" i="1"/>
  <c r="K64" i="1"/>
  <c r="K57" i="1"/>
  <c r="K36" i="1"/>
  <c r="K106" i="1"/>
  <c r="K91" i="1"/>
  <c r="K93" i="1"/>
  <c r="K4" i="1"/>
  <c r="K6" i="1"/>
  <c r="K8" i="1"/>
  <c r="K10" i="1"/>
  <c r="K12" i="1"/>
  <c r="K14" i="1"/>
  <c r="K16" i="1"/>
  <c r="K18" i="1"/>
  <c r="K20" i="1"/>
  <c r="K22" i="1"/>
  <c r="K24" i="1"/>
  <c r="K26" i="1"/>
  <c r="K28" i="1"/>
  <c r="K30" i="1"/>
  <c r="K32" i="1"/>
  <c r="K34" i="1"/>
  <c r="K37" i="1"/>
  <c r="K40" i="1"/>
  <c r="K43" i="1"/>
  <c r="K46" i="1"/>
  <c r="K49" i="1"/>
  <c r="I97" i="1"/>
  <c r="I64" i="1"/>
  <c r="I62" i="1"/>
  <c r="I42" i="1"/>
  <c r="I39" i="1"/>
  <c r="I52" i="1"/>
  <c r="I84" i="1"/>
  <c r="I92" i="1"/>
  <c r="I94" i="1"/>
  <c r="I5" i="1"/>
  <c r="I7" i="1"/>
  <c r="I9" i="1"/>
  <c r="I11" i="1"/>
  <c r="I13" i="1"/>
  <c r="I15" i="1"/>
  <c r="I17" i="1"/>
  <c r="I19" i="1"/>
  <c r="I21" i="1"/>
  <c r="I23" i="1"/>
  <c r="I25" i="1"/>
  <c r="I27" i="1"/>
  <c r="I29" i="1"/>
  <c r="I31" i="1"/>
  <c r="I33" i="1"/>
  <c r="I35" i="1"/>
  <c r="I38" i="1"/>
  <c r="I41" i="1"/>
  <c r="I44" i="1"/>
  <c r="I47" i="1"/>
  <c r="N59" i="1"/>
  <c r="N64" i="1"/>
  <c r="N42" i="1"/>
  <c r="N62" i="1"/>
  <c r="N97" i="1"/>
  <c r="X42" i="1"/>
  <c r="Z42" i="1" s="1"/>
  <c r="X64" i="1"/>
  <c r="Z64" i="1" s="1"/>
  <c r="X97" i="1"/>
  <c r="Z97" i="1" s="1"/>
  <c r="X62" i="1"/>
  <c r="Z62" i="1" s="1"/>
  <c r="L57" i="1"/>
  <c r="L42" i="1"/>
  <c r="L62" i="1"/>
  <c r="L97" i="1"/>
  <c r="L64" i="1"/>
  <c r="J59" i="1"/>
  <c r="J64" i="1"/>
  <c r="J62" i="1"/>
  <c r="J42" i="1"/>
  <c r="J97" i="1"/>
  <c r="W96" i="1"/>
  <c r="Y96" i="1" s="1"/>
  <c r="W62" i="1"/>
  <c r="Y62" i="1" s="1"/>
  <c r="W97" i="1"/>
  <c r="Y97" i="1" s="1"/>
  <c r="W64" i="1"/>
  <c r="Y64" i="1" s="1"/>
  <c r="W42" i="1"/>
  <c r="Y42" i="1" s="1"/>
  <c r="I54" i="1"/>
  <c r="I59" i="1"/>
  <c r="I96" i="1"/>
  <c r="I57" i="1"/>
  <c r="I36" i="1"/>
  <c r="I95" i="1"/>
  <c r="L96" i="1"/>
  <c r="L36" i="1"/>
  <c r="L95" i="1"/>
  <c r="L54" i="1"/>
  <c r="L39" i="1"/>
  <c r="L52" i="1"/>
  <c r="W59" i="1"/>
  <c r="Y59" i="1" s="1"/>
  <c r="K96" i="1"/>
  <c r="K39" i="1"/>
  <c r="X39" i="1"/>
  <c r="Z39" i="1" s="1"/>
  <c r="L59" i="1"/>
  <c r="X59" i="1"/>
  <c r="Z59" i="1" s="1"/>
  <c r="W95" i="1"/>
  <c r="Y95" i="1" s="1"/>
  <c r="W57" i="1"/>
  <c r="Y57" i="1" s="1"/>
  <c r="N96" i="1"/>
  <c r="J96" i="1"/>
  <c r="A57" i="7"/>
  <c r="O105" i="1" l="1"/>
  <c r="T105" i="1"/>
  <c r="T79" i="1"/>
  <c r="U105" i="1"/>
  <c r="U79" i="1"/>
  <c r="P105" i="1"/>
  <c r="P79" i="1"/>
  <c r="O79" i="1"/>
  <c r="Y79" i="1"/>
  <c r="AD79" i="1" s="1"/>
  <c r="AC79" i="1"/>
  <c r="S105" i="1"/>
  <c r="S79" i="1"/>
  <c r="B28" i="7"/>
  <c r="T90" i="1"/>
  <c r="U90" i="1"/>
  <c r="P90" i="1"/>
  <c r="S90" i="1"/>
  <c r="R4" i="1"/>
  <c r="R105" i="1"/>
  <c r="AD54" i="1"/>
  <c r="AD90" i="1"/>
  <c r="O100" i="1"/>
  <c r="Y105" i="1"/>
  <c r="AD105" i="1" s="1"/>
  <c r="AC105" i="1"/>
  <c r="O67" i="1"/>
  <c r="O68" i="1"/>
  <c r="AC90" i="1"/>
  <c r="Y4" i="1"/>
  <c r="AD4" i="1" s="1"/>
  <c r="AC4" i="1"/>
  <c r="O90" i="1"/>
  <c r="O101" i="1"/>
  <c r="O104" i="1"/>
  <c r="O89" i="1"/>
  <c r="AC104" i="1"/>
  <c r="AD104" i="1"/>
  <c r="AD88" i="1"/>
  <c r="AC88" i="1"/>
  <c r="AC89" i="1"/>
  <c r="AD89" i="1"/>
  <c r="O88" i="1"/>
  <c r="AC77" i="1"/>
  <c r="AD77" i="1"/>
  <c r="O77" i="1"/>
  <c r="O75" i="1"/>
  <c r="AD75" i="1"/>
  <c r="AC75" i="1"/>
  <c r="O87" i="1"/>
  <c r="AD69" i="1"/>
  <c r="O71" i="1"/>
  <c r="AD71" i="1"/>
  <c r="AC71" i="1"/>
  <c r="AC69" i="1"/>
  <c r="AD87" i="1"/>
  <c r="AC87" i="1"/>
  <c r="O103" i="1"/>
  <c r="O69" i="1"/>
  <c r="O102" i="1"/>
  <c r="AD86" i="1"/>
  <c r="AC86" i="1"/>
  <c r="AC103" i="1"/>
  <c r="AD103" i="1"/>
  <c r="O86" i="1"/>
  <c r="O63" i="1"/>
  <c r="AC102" i="1"/>
  <c r="AD102" i="1"/>
  <c r="AC82" i="1"/>
  <c r="AC65" i="1"/>
  <c r="AD65" i="1"/>
  <c r="O65" i="1"/>
  <c r="O83" i="1"/>
  <c r="O82" i="1"/>
  <c r="AD63" i="1"/>
  <c r="AC63" i="1"/>
  <c r="O85" i="1"/>
  <c r="AC83" i="1"/>
  <c r="AD83" i="1"/>
  <c r="AC85" i="1"/>
  <c r="AD85" i="1"/>
  <c r="AD19" i="1"/>
  <c r="AC60" i="1"/>
  <c r="O60" i="1"/>
  <c r="O58" i="1"/>
  <c r="AD20" i="1"/>
  <c r="O53" i="1"/>
  <c r="AD58" i="1"/>
  <c r="AC58" i="1"/>
  <c r="O50" i="1"/>
  <c r="AC101" i="1"/>
  <c r="AD101" i="1"/>
  <c r="O78" i="1"/>
  <c r="AC100" i="1"/>
  <c r="AC80" i="1"/>
  <c r="AD80" i="1"/>
  <c r="O80" i="1"/>
  <c r="O81" i="1"/>
  <c r="AC53" i="1"/>
  <c r="AD53" i="1"/>
  <c r="AC81" i="1"/>
  <c r="AD81" i="1"/>
  <c r="AC55" i="1"/>
  <c r="AD55" i="1"/>
  <c r="O55" i="1"/>
  <c r="AC78" i="1"/>
  <c r="AD5" i="1"/>
  <c r="AC50" i="1"/>
  <c r="O48" i="1"/>
  <c r="AC73" i="1"/>
  <c r="O13" i="1"/>
  <c r="AC76" i="1"/>
  <c r="O73" i="1"/>
  <c r="AD9" i="1"/>
  <c r="AC99" i="1"/>
  <c r="O99" i="1"/>
  <c r="AC48" i="1"/>
  <c r="O76" i="1"/>
  <c r="AD22" i="1"/>
  <c r="AD94" i="1"/>
  <c r="AD91" i="1"/>
  <c r="AD13" i="1"/>
  <c r="AC66" i="1"/>
  <c r="AD16" i="1"/>
  <c r="AC8" i="1"/>
  <c r="O29" i="1"/>
  <c r="O35" i="1"/>
  <c r="O94" i="1"/>
  <c r="AD6" i="1"/>
  <c r="O51" i="1"/>
  <c r="AD35" i="1"/>
  <c r="AC92" i="1"/>
  <c r="AD92" i="1"/>
  <c r="AC51" i="1"/>
  <c r="O74" i="1"/>
  <c r="AD18" i="1"/>
  <c r="O72" i="1"/>
  <c r="AC106" i="1"/>
  <c r="AC35" i="1"/>
  <c r="AC16" i="1"/>
  <c r="AD12" i="1"/>
  <c r="AC29" i="1"/>
  <c r="AC10" i="1"/>
  <c r="O47" i="1"/>
  <c r="O19" i="1"/>
  <c r="O11" i="1"/>
  <c r="AC94" i="1"/>
  <c r="O49" i="1"/>
  <c r="O12" i="1"/>
  <c r="AC25" i="1"/>
  <c r="O66" i="1"/>
  <c r="O40" i="1"/>
  <c r="O56" i="1"/>
  <c r="O61" i="1"/>
  <c r="AC91" i="1"/>
  <c r="AC15" i="1"/>
  <c r="AC27" i="1"/>
  <c r="AD8" i="1"/>
  <c r="AD17" i="1"/>
  <c r="AC43" i="1"/>
  <c r="AD15" i="1"/>
  <c r="AD10" i="1"/>
  <c r="AD7" i="1"/>
  <c r="AD14" i="1"/>
  <c r="AC52" i="1"/>
  <c r="AC96" i="1"/>
  <c r="AC22" i="1"/>
  <c r="AC7" i="1"/>
  <c r="O27" i="1"/>
  <c r="O30" i="1"/>
  <c r="O22" i="1"/>
  <c r="O14" i="1"/>
  <c r="O6" i="1"/>
  <c r="O106" i="1"/>
  <c r="AD74" i="1"/>
  <c r="AC28" i="1"/>
  <c r="AC44" i="1"/>
  <c r="AC19" i="1"/>
  <c r="AC13" i="1"/>
  <c r="AC6" i="1"/>
  <c r="O33" i="1"/>
  <c r="O17" i="1"/>
  <c r="O92" i="1"/>
  <c r="O37" i="1"/>
  <c r="O28" i="1"/>
  <c r="O20" i="1"/>
  <c r="AD84" i="1"/>
  <c r="AD49" i="1"/>
  <c r="AD44" i="1"/>
  <c r="AC54" i="1"/>
  <c r="AC93" i="1"/>
  <c r="AC74" i="1"/>
  <c r="AC40" i="1"/>
  <c r="AC18" i="1"/>
  <c r="AC17" i="1"/>
  <c r="AC9" i="1"/>
  <c r="AC56" i="1"/>
  <c r="AC30" i="1"/>
  <c r="O46" i="1"/>
  <c r="O26" i="1"/>
  <c r="O10" i="1"/>
  <c r="AC32" i="1"/>
  <c r="AD68" i="1"/>
  <c r="AC33" i="1"/>
  <c r="O45" i="1"/>
  <c r="AC23" i="1"/>
  <c r="AD11" i="1"/>
  <c r="O25" i="1"/>
  <c r="AD21" i="1"/>
  <c r="AC67" i="1"/>
  <c r="AC31" i="1"/>
  <c r="AC21" i="1"/>
  <c r="AC12" i="1"/>
  <c r="O9" i="1"/>
  <c r="O4" i="1"/>
  <c r="AD41" i="1"/>
  <c r="AC72" i="1"/>
  <c r="AC41" i="1"/>
  <c r="AC37" i="1"/>
  <c r="AC20" i="1"/>
  <c r="AC5" i="1"/>
  <c r="O41" i="1"/>
  <c r="O31" i="1"/>
  <c r="O23" i="1"/>
  <c r="O15" i="1"/>
  <c r="O7" i="1"/>
  <c r="O84" i="1"/>
  <c r="O34" i="1"/>
  <c r="O18" i="1"/>
  <c r="O93" i="1"/>
  <c r="AC68" i="1"/>
  <c r="AC11" i="1"/>
  <c r="O98" i="1"/>
  <c r="AC70" i="1"/>
  <c r="AD93" i="1"/>
  <c r="O44" i="1"/>
  <c r="AC61" i="1"/>
  <c r="AC98" i="1"/>
  <c r="AC47" i="1"/>
  <c r="AC84" i="1"/>
  <c r="AC34" i="1"/>
  <c r="AC49" i="1"/>
  <c r="AC38" i="1"/>
  <c r="AC46" i="1"/>
  <c r="AC26" i="1"/>
  <c r="AC14" i="1"/>
  <c r="AC36" i="1"/>
  <c r="O38" i="1"/>
  <c r="O21" i="1"/>
  <c r="O5" i="1"/>
  <c r="O43" i="1"/>
  <c r="O32" i="1"/>
  <c r="O24" i="1"/>
  <c r="O16" i="1"/>
  <c r="O8" i="1"/>
  <c r="O91" i="1"/>
  <c r="O70" i="1"/>
  <c r="AC24" i="1"/>
  <c r="AC45" i="1"/>
  <c r="O64" i="1"/>
  <c r="M107" i="1"/>
  <c r="AC64" i="1"/>
  <c r="N107" i="1"/>
  <c r="O52" i="1"/>
  <c r="AC62" i="1"/>
  <c r="O42" i="1"/>
  <c r="AC97" i="1"/>
  <c r="O97" i="1"/>
  <c r="K107" i="1"/>
  <c r="O57" i="1"/>
  <c r="AC42" i="1"/>
  <c r="O62" i="1"/>
  <c r="O95" i="1"/>
  <c r="L107" i="1"/>
  <c r="O54" i="1"/>
  <c r="O39" i="1"/>
  <c r="O36" i="1"/>
  <c r="I107" i="1"/>
  <c r="O59" i="1"/>
  <c r="AC39" i="1"/>
  <c r="AD51" i="1"/>
  <c r="AD61" i="1"/>
  <c r="AD72" i="1"/>
  <c r="AD96" i="1"/>
  <c r="AC95" i="1"/>
  <c r="O96" i="1"/>
  <c r="J107" i="1"/>
  <c r="AD66" i="1"/>
  <c r="AC59" i="1"/>
  <c r="AD59" i="1"/>
  <c r="AD25" i="1"/>
  <c r="AC57" i="1"/>
  <c r="A62" i="7"/>
  <c r="V105" i="1" l="1"/>
  <c r="V79" i="1"/>
  <c r="V90" i="1"/>
  <c r="AD47" i="1"/>
  <c r="AD46" i="1"/>
  <c r="AD95" i="1"/>
  <c r="AD43" i="1"/>
  <c r="AD82" i="1"/>
  <c r="AD40" i="1"/>
  <c r="AD38" i="1"/>
  <c r="AD37" i="1"/>
  <c r="AD98" i="1"/>
  <c r="AD97" i="1"/>
  <c r="AD62" i="1"/>
  <c r="AD26" i="1"/>
  <c r="AD52" i="1"/>
  <c r="O107" i="1"/>
  <c r="AD24" i="1"/>
  <c r="AD27" i="1" l="1"/>
  <c r="AD23" i="1"/>
  <c r="AD39" i="1"/>
  <c r="AD56" i="1"/>
  <c r="AD36" i="1"/>
  <c r="AD57" i="1"/>
  <c r="AD42" i="1" l="1"/>
  <c r="AD60" i="1" l="1"/>
  <c r="AD28" i="1" l="1"/>
  <c r="AD64" i="1" l="1"/>
  <c r="AD67" i="1" l="1"/>
  <c r="AD29" i="1"/>
  <c r="AD99" i="1"/>
  <c r="AD30" i="1" l="1"/>
  <c r="AD45" i="1" l="1"/>
  <c r="AD70" i="1" l="1"/>
  <c r="AD31" i="1"/>
  <c r="AD73" i="1" l="1"/>
  <c r="AD32" i="1"/>
  <c r="P104" i="1"/>
  <c r="AD100" i="1"/>
  <c r="P77" i="1" l="1"/>
  <c r="P89" i="1"/>
  <c r="P88" i="1"/>
  <c r="P71" i="1"/>
  <c r="P75" i="1"/>
  <c r="P69" i="1"/>
  <c r="P87" i="1"/>
  <c r="P86" i="1"/>
  <c r="P103" i="1"/>
  <c r="P65" i="1"/>
  <c r="P102" i="1"/>
  <c r="P85" i="1"/>
  <c r="P63" i="1"/>
  <c r="P60" i="1"/>
  <c r="P83" i="1"/>
  <c r="P58" i="1"/>
  <c r="P82" i="1"/>
  <c r="P81" i="1"/>
  <c r="P101" i="1"/>
  <c r="P55" i="1"/>
  <c r="P80" i="1"/>
  <c r="P53" i="1"/>
  <c r="P100" i="1"/>
  <c r="Q104" i="1"/>
  <c r="AD106" i="1"/>
  <c r="P22" i="1"/>
  <c r="P41" i="1"/>
  <c r="P21" i="1"/>
  <c r="P12" i="1"/>
  <c r="P30" i="1"/>
  <c r="P37" i="1"/>
  <c r="P62" i="1"/>
  <c r="P43" i="1"/>
  <c r="P98" i="1"/>
  <c r="P46" i="1"/>
  <c r="P47" i="1"/>
  <c r="P44" i="1"/>
  <c r="P67" i="1"/>
  <c r="P84" i="1"/>
  <c r="P72" i="1"/>
  <c r="P5" i="1"/>
  <c r="P42" i="1"/>
  <c r="P40" i="1"/>
  <c r="P35" i="1"/>
  <c r="P38" i="1"/>
  <c r="P14" i="1"/>
  <c r="P56" i="1"/>
  <c r="P29" i="1"/>
  <c r="P54" i="1"/>
  <c r="P33" i="1"/>
  <c r="P95" i="1"/>
  <c r="P17" i="1"/>
  <c r="P32" i="1"/>
  <c r="P93" i="1"/>
  <c r="P52" i="1"/>
  <c r="P7" i="1"/>
  <c r="P23" i="1"/>
  <c r="P18" i="1"/>
  <c r="P94" i="1"/>
  <c r="P73" i="1"/>
  <c r="P57" i="1"/>
  <c r="P92" i="1"/>
  <c r="P28" i="1"/>
  <c r="P91" i="1"/>
  <c r="P97" i="1"/>
  <c r="P19" i="1"/>
  <c r="P51" i="1"/>
  <c r="P13" i="1"/>
  <c r="P68" i="1"/>
  <c r="P36" i="1"/>
  <c r="P9" i="1"/>
  <c r="P66" i="1"/>
  <c r="P8" i="1"/>
  <c r="P15" i="1"/>
  <c r="P6" i="1"/>
  <c r="P24" i="1"/>
  <c r="P34" i="1"/>
  <c r="P99" i="1"/>
  <c r="P96" i="1"/>
  <c r="P11" i="1"/>
  <c r="P49" i="1"/>
  <c r="P74" i="1"/>
  <c r="P59" i="1"/>
  <c r="P27" i="1"/>
  <c r="P4" i="1"/>
  <c r="P31" i="1"/>
  <c r="P16" i="1"/>
  <c r="P26" i="1"/>
  <c r="P61" i="1"/>
  <c r="P25" i="1"/>
  <c r="P10" i="1"/>
  <c r="P20" i="1"/>
  <c r="P39" i="1"/>
  <c r="P64" i="1"/>
  <c r="P45" i="1"/>
  <c r="P70" i="1"/>
  <c r="Q77" i="1" l="1"/>
  <c r="Q89" i="1"/>
  <c r="Q88" i="1"/>
  <c r="Q71" i="1"/>
  <c r="Q75" i="1"/>
  <c r="Q69" i="1"/>
  <c r="Q87" i="1"/>
  <c r="Q86" i="1"/>
  <c r="Q103" i="1"/>
  <c r="Q65" i="1"/>
  <c r="Q102" i="1"/>
  <c r="Q85" i="1"/>
  <c r="Q63" i="1"/>
  <c r="Q60" i="1"/>
  <c r="Q83" i="1"/>
  <c r="Q58" i="1"/>
  <c r="Q82" i="1"/>
  <c r="Q81" i="1"/>
  <c r="Q101" i="1"/>
  <c r="Q100" i="1"/>
  <c r="Q55" i="1"/>
  <c r="Q53" i="1"/>
  <c r="Q80" i="1"/>
  <c r="P106" i="1"/>
  <c r="Q29" i="1"/>
  <c r="Q34" i="1"/>
  <c r="Q37" i="1"/>
  <c r="Q10" i="1"/>
  <c r="Q38" i="1"/>
  <c r="Q19" i="1"/>
  <c r="Q17" i="1"/>
  <c r="Q52" i="1"/>
  <c r="Q106" i="1"/>
  <c r="Q41" i="1"/>
  <c r="Q16" i="1"/>
  <c r="Q59" i="1"/>
  <c r="Q6" i="1"/>
  <c r="Q61" i="1"/>
  <c r="Q11" i="1"/>
  <c r="Q98" i="1"/>
  <c r="Q64" i="1"/>
  <c r="Q57" i="1"/>
  <c r="Q14" i="1"/>
  <c r="Q15" i="1"/>
  <c r="Q68" i="1"/>
  <c r="Q74" i="1"/>
  <c r="Q73" i="1"/>
  <c r="Q97" i="1"/>
  <c r="Q51" i="1"/>
  <c r="Q27" i="1"/>
  <c r="Q84" i="1"/>
  <c r="Q39" i="1"/>
  <c r="Q91" i="1"/>
  <c r="Q35" i="1"/>
  <c r="Q9" i="1"/>
  <c r="Q36" i="1"/>
  <c r="Q22" i="1"/>
  <c r="Q32" i="1"/>
  <c r="Q18" i="1"/>
  <c r="Q95" i="1"/>
  <c r="Q56" i="1"/>
  <c r="Q24" i="1"/>
  <c r="Q8" i="1"/>
  <c r="Q93" i="1"/>
  <c r="Q96" i="1"/>
  <c r="Q7" i="1"/>
  <c r="Q47" i="1"/>
  <c r="Q13" i="1"/>
  <c r="Q54" i="1"/>
  <c r="Q28" i="1"/>
  <c r="Q92" i="1"/>
  <c r="Q25" i="1"/>
  <c r="Q30" i="1"/>
  <c r="Q66" i="1"/>
  <c r="Q67" i="1"/>
  <c r="Q33" i="1"/>
  <c r="Q40" i="1"/>
  <c r="Q43" i="1"/>
  <c r="Q72" i="1"/>
  <c r="Q5" i="1"/>
  <c r="Q99" i="1"/>
  <c r="Q46" i="1"/>
  <c r="Q20" i="1"/>
  <c r="Q12" i="1"/>
  <c r="Q21" i="1"/>
  <c r="Q26" i="1"/>
  <c r="Q49" i="1"/>
  <c r="Q44" i="1"/>
  <c r="Q23" i="1"/>
  <c r="Q62" i="1"/>
  <c r="Q31" i="1"/>
  <c r="Q94" i="1"/>
  <c r="Q42" i="1"/>
  <c r="Q45" i="1"/>
  <c r="Q70" i="1"/>
  <c r="AD33" i="1" l="1"/>
  <c r="R104" i="1"/>
  <c r="AD48" i="1" l="1"/>
  <c r="R77" i="1"/>
  <c r="R89" i="1"/>
  <c r="R88" i="1"/>
  <c r="R71" i="1"/>
  <c r="R75" i="1"/>
  <c r="R69" i="1"/>
  <c r="R87" i="1"/>
  <c r="R86" i="1"/>
  <c r="R103" i="1"/>
  <c r="R65" i="1"/>
  <c r="R102" i="1"/>
  <c r="R85" i="1"/>
  <c r="R63" i="1"/>
  <c r="R60" i="1"/>
  <c r="R83" i="1"/>
  <c r="R58" i="1"/>
  <c r="R82" i="1"/>
  <c r="R81" i="1"/>
  <c r="R101" i="1"/>
  <c r="R80" i="1"/>
  <c r="R53" i="1"/>
  <c r="R100" i="1"/>
  <c r="R55" i="1"/>
  <c r="P48" i="1"/>
  <c r="Q48" i="1"/>
  <c r="R99" i="1"/>
  <c r="R59" i="1"/>
  <c r="R34" i="1"/>
  <c r="R5" i="1"/>
  <c r="R98" i="1"/>
  <c r="R8" i="1"/>
  <c r="R30" i="1"/>
  <c r="R17" i="1"/>
  <c r="R11" i="1"/>
  <c r="R41" i="1"/>
  <c r="R38" i="1"/>
  <c r="R23" i="1"/>
  <c r="R26" i="1"/>
  <c r="R54" i="1"/>
  <c r="R45" i="1"/>
  <c r="R6" i="1"/>
  <c r="R21" i="1"/>
  <c r="R64" i="1"/>
  <c r="R73" i="1"/>
  <c r="R96" i="1"/>
  <c r="R28" i="1"/>
  <c r="R20" i="1"/>
  <c r="R32" i="1"/>
  <c r="R44" i="1"/>
  <c r="R9" i="1"/>
  <c r="R62" i="1"/>
  <c r="R48" i="1"/>
  <c r="R47" i="1"/>
  <c r="R93" i="1"/>
  <c r="R46" i="1"/>
  <c r="R56" i="1"/>
  <c r="R52" i="1"/>
  <c r="R106" i="1"/>
  <c r="R61" i="1"/>
  <c r="R33" i="1"/>
  <c r="R91" i="1"/>
  <c r="R10" i="1"/>
  <c r="R94" i="1"/>
  <c r="R84" i="1"/>
  <c r="R40" i="1"/>
  <c r="R95" i="1"/>
  <c r="R43" i="1"/>
  <c r="R15" i="1"/>
  <c r="R67" i="1"/>
  <c r="R57" i="1"/>
  <c r="R37" i="1"/>
  <c r="R18" i="1"/>
  <c r="R39" i="1"/>
  <c r="R72" i="1"/>
  <c r="R12" i="1"/>
  <c r="R14" i="1"/>
  <c r="R68" i="1"/>
  <c r="R49" i="1"/>
  <c r="R35" i="1"/>
  <c r="R22" i="1"/>
  <c r="R19" i="1"/>
  <c r="R25" i="1"/>
  <c r="R51" i="1"/>
  <c r="R97" i="1"/>
  <c r="R7" i="1"/>
  <c r="R16" i="1"/>
  <c r="R24" i="1"/>
  <c r="R66" i="1"/>
  <c r="R36" i="1"/>
  <c r="R31" i="1"/>
  <c r="R27" i="1"/>
  <c r="R92" i="1"/>
  <c r="R42" i="1"/>
  <c r="R74" i="1"/>
  <c r="R29" i="1"/>
  <c r="R13" i="1"/>
  <c r="R70" i="1"/>
  <c r="AD34" i="1" l="1"/>
  <c r="S104" i="1"/>
  <c r="T104" i="1"/>
  <c r="AF104" i="1" l="1"/>
  <c r="AG104" i="1" s="1"/>
  <c r="AH104" i="1" s="1"/>
  <c r="AF51" i="1"/>
  <c r="AF52" i="1"/>
  <c r="S77" i="1"/>
  <c r="S89" i="1"/>
  <c r="S88" i="1"/>
  <c r="T77" i="1"/>
  <c r="T89" i="1"/>
  <c r="T88" i="1"/>
  <c r="AF77" i="1"/>
  <c r="AG77" i="1" s="1"/>
  <c r="AH77" i="1" s="1"/>
  <c r="AF89" i="1"/>
  <c r="AF88" i="1"/>
  <c r="S71" i="1"/>
  <c r="S75" i="1"/>
  <c r="T71" i="1"/>
  <c r="T75" i="1"/>
  <c r="AF71" i="1"/>
  <c r="AF75" i="1"/>
  <c r="AF87" i="1"/>
  <c r="AJ87" i="1" s="1"/>
  <c r="S69" i="1"/>
  <c r="S87" i="1"/>
  <c r="T69" i="1"/>
  <c r="T87" i="1"/>
  <c r="AF103" i="1"/>
  <c r="AJ103" i="1" s="1"/>
  <c r="AF69" i="1"/>
  <c r="AJ69" i="1" s="1"/>
  <c r="S86" i="1"/>
  <c r="S103" i="1"/>
  <c r="T86" i="1"/>
  <c r="T103" i="1"/>
  <c r="AF102" i="1"/>
  <c r="AF86" i="1"/>
  <c r="AJ86" i="1" s="1"/>
  <c r="S65" i="1"/>
  <c r="S102" i="1"/>
  <c r="T65" i="1"/>
  <c r="T102" i="1"/>
  <c r="AF63" i="1"/>
  <c r="AF65" i="1"/>
  <c r="S85" i="1"/>
  <c r="S63" i="1"/>
  <c r="T85" i="1"/>
  <c r="T63" i="1"/>
  <c r="AF83" i="1"/>
  <c r="AF85" i="1"/>
  <c r="S60" i="1"/>
  <c r="S83" i="1"/>
  <c r="T60" i="1"/>
  <c r="T83" i="1"/>
  <c r="AF60" i="1"/>
  <c r="AF82" i="1"/>
  <c r="S58" i="1"/>
  <c r="S82" i="1"/>
  <c r="T58" i="1"/>
  <c r="T82" i="1"/>
  <c r="AF101" i="1"/>
  <c r="AJ101" i="1" s="1"/>
  <c r="AF58" i="1"/>
  <c r="S81" i="1"/>
  <c r="S101" i="1"/>
  <c r="T81" i="1"/>
  <c r="T101" i="1"/>
  <c r="AF55" i="1"/>
  <c r="AJ55" i="1" s="1"/>
  <c r="AF81" i="1"/>
  <c r="S53" i="1"/>
  <c r="S55" i="1"/>
  <c r="S80" i="1"/>
  <c r="S100" i="1"/>
  <c r="T53" i="1"/>
  <c r="T100" i="1"/>
  <c r="T55" i="1"/>
  <c r="T80" i="1"/>
  <c r="AF53" i="1"/>
  <c r="AJ53" i="1" s="1"/>
  <c r="AF80" i="1"/>
  <c r="AF100" i="1"/>
  <c r="T73" i="1"/>
  <c r="T67" i="1"/>
  <c r="T62" i="1"/>
  <c r="T6" i="1"/>
  <c r="T93" i="1"/>
  <c r="T39" i="1"/>
  <c r="T51" i="1"/>
  <c r="T25" i="1"/>
  <c r="T28" i="1"/>
  <c r="T7" i="1"/>
  <c r="T47" i="1"/>
  <c r="T32" i="1"/>
  <c r="T95" i="1"/>
  <c r="T44" i="1"/>
  <c r="T16" i="1"/>
  <c r="T12" i="1"/>
  <c r="T56" i="1"/>
  <c r="T46" i="1"/>
  <c r="T59" i="1"/>
  <c r="T48" i="1"/>
  <c r="T34" i="1"/>
  <c r="T64" i="1"/>
  <c r="T57" i="1"/>
  <c r="T22" i="1"/>
  <c r="T98" i="1"/>
  <c r="T72" i="1"/>
  <c r="T70" i="1"/>
  <c r="T91" i="1"/>
  <c r="T84" i="1"/>
  <c r="T94" i="1"/>
  <c r="T14" i="1"/>
  <c r="T11" i="1"/>
  <c r="T26" i="1"/>
  <c r="T30" i="1"/>
  <c r="T17" i="1"/>
  <c r="T52" i="1"/>
  <c r="T20" i="1"/>
  <c r="T36" i="1"/>
  <c r="T38" i="1"/>
  <c r="T43" i="1"/>
  <c r="T8" i="1"/>
  <c r="T92" i="1"/>
  <c r="T54" i="1"/>
  <c r="T40" i="1"/>
  <c r="T18" i="1"/>
  <c r="T33" i="1"/>
  <c r="T4" i="1"/>
  <c r="T99" i="1"/>
  <c r="T35" i="1"/>
  <c r="T15" i="1"/>
  <c r="T13" i="1"/>
  <c r="T41" i="1"/>
  <c r="T21" i="1"/>
  <c r="T68" i="1"/>
  <c r="T97" i="1"/>
  <c r="T19" i="1"/>
  <c r="T10" i="1"/>
  <c r="T74" i="1"/>
  <c r="T106" i="1"/>
  <c r="T49" i="1"/>
  <c r="T27" i="1"/>
  <c r="T31" i="1"/>
  <c r="T66" i="1"/>
  <c r="T61" i="1"/>
  <c r="T42" i="1"/>
  <c r="T76" i="1"/>
  <c r="T37" i="1"/>
  <c r="T5" i="1"/>
  <c r="T9" i="1"/>
  <c r="T96" i="1"/>
  <c r="T45" i="1"/>
  <c r="T29" i="1"/>
  <c r="T23" i="1"/>
  <c r="T24" i="1"/>
  <c r="P76" i="1"/>
  <c r="Q76" i="1"/>
  <c r="R76" i="1"/>
  <c r="S76" i="1"/>
  <c r="S21" i="1"/>
  <c r="S51" i="1"/>
  <c r="S46" i="1"/>
  <c r="S52" i="1"/>
  <c r="S62" i="1"/>
  <c r="S42" i="1"/>
  <c r="S38" i="1"/>
  <c r="S36" i="1"/>
  <c r="S17" i="1"/>
  <c r="S11" i="1"/>
  <c r="S40" i="1"/>
  <c r="S72" i="1"/>
  <c r="S22" i="1"/>
  <c r="S18" i="1"/>
  <c r="S9" i="1"/>
  <c r="S24" i="1"/>
  <c r="S4" i="1"/>
  <c r="S48" i="1"/>
  <c r="S10" i="1"/>
  <c r="S13" i="1"/>
  <c r="S33" i="1"/>
  <c r="S59" i="1"/>
  <c r="S61" i="1"/>
  <c r="S92" i="1"/>
  <c r="S20" i="1"/>
  <c r="S45" i="1"/>
  <c r="S91" i="1"/>
  <c r="S68" i="1"/>
  <c r="S47" i="1"/>
  <c r="S39" i="1"/>
  <c r="S15" i="1"/>
  <c r="S84" i="1"/>
  <c r="S94" i="1"/>
  <c r="S5" i="1"/>
  <c r="S41" i="1"/>
  <c r="S96" i="1"/>
  <c r="S26" i="1"/>
  <c r="S74" i="1"/>
  <c r="S7" i="1"/>
  <c r="S95" i="1"/>
  <c r="S73" i="1"/>
  <c r="S67" i="1"/>
  <c r="S16" i="1"/>
  <c r="S43" i="1"/>
  <c r="S14" i="1"/>
  <c r="S56" i="1"/>
  <c r="S29" i="1"/>
  <c r="S54" i="1"/>
  <c r="S37" i="1"/>
  <c r="S31" i="1"/>
  <c r="S93" i="1"/>
  <c r="S27" i="1"/>
  <c r="S12" i="1"/>
  <c r="S98" i="1"/>
  <c r="S64" i="1"/>
  <c r="S49" i="1"/>
  <c r="S19" i="1"/>
  <c r="S25" i="1"/>
  <c r="S32" i="1"/>
  <c r="S99" i="1"/>
  <c r="S35" i="1"/>
  <c r="S97" i="1"/>
  <c r="S66" i="1"/>
  <c r="S23" i="1"/>
  <c r="S57" i="1"/>
  <c r="S8" i="1"/>
  <c r="S34" i="1"/>
  <c r="S44" i="1"/>
  <c r="S6" i="1"/>
  <c r="S30" i="1"/>
  <c r="S28" i="1"/>
  <c r="S70" i="1"/>
  <c r="S106" i="1"/>
  <c r="AD76" i="1"/>
  <c r="AF106" i="1"/>
  <c r="AF37" i="1"/>
  <c r="AJ37" i="1" s="1"/>
  <c r="AK37" i="1" s="1"/>
  <c r="AF41" i="1"/>
  <c r="AJ41" i="1" s="1"/>
  <c r="AK41" i="1" s="1"/>
  <c r="AF43" i="1"/>
  <c r="AJ43" i="1" s="1"/>
  <c r="AK43" i="1" s="1"/>
  <c r="AF47" i="1"/>
  <c r="AF59" i="1"/>
  <c r="AF66" i="1"/>
  <c r="AF72" i="1"/>
  <c r="AF84" i="1"/>
  <c r="AF94" i="1"/>
  <c r="AF98" i="1"/>
  <c r="AF36" i="1"/>
  <c r="AJ36" i="1" s="1"/>
  <c r="AK36" i="1" s="1"/>
  <c r="AF38" i="1"/>
  <c r="AJ38" i="1" s="1"/>
  <c r="AK38" i="1" s="1"/>
  <c r="AF40" i="1"/>
  <c r="AJ40" i="1" s="1"/>
  <c r="AK40" i="1" s="1"/>
  <c r="AF42" i="1"/>
  <c r="AJ42" i="1" s="1"/>
  <c r="AK42" i="1" s="1"/>
  <c r="AF44" i="1"/>
  <c r="AF46" i="1"/>
  <c r="AF48" i="1"/>
  <c r="AF54" i="1"/>
  <c r="AF57" i="1"/>
  <c r="AF61" i="1"/>
  <c r="AF64" i="1"/>
  <c r="AF67" i="1"/>
  <c r="AF70" i="1"/>
  <c r="AF73" i="1"/>
  <c r="AF76" i="1"/>
  <c r="AF91" i="1"/>
  <c r="AF93" i="1"/>
  <c r="AF95" i="1"/>
  <c r="AF97" i="1"/>
  <c r="AF99" i="1"/>
  <c r="AF39" i="1"/>
  <c r="AJ39" i="1" s="1"/>
  <c r="AK39" i="1" s="1"/>
  <c r="AF45" i="1"/>
  <c r="AF49" i="1"/>
  <c r="AF56" i="1"/>
  <c r="AF62" i="1"/>
  <c r="AF68" i="1"/>
  <c r="AF74" i="1"/>
  <c r="AF92" i="1"/>
  <c r="AF96" i="1"/>
  <c r="AF35" i="1"/>
  <c r="AJ35" i="1" s="1"/>
  <c r="AJ104" i="1" l="1"/>
  <c r="AK104" i="1" s="1"/>
  <c r="AJ77" i="1"/>
  <c r="AK77" i="1" s="1"/>
  <c r="AJ88" i="1"/>
  <c r="AG88" i="1"/>
  <c r="AH88" i="1" s="1"/>
  <c r="AJ89" i="1"/>
  <c r="AG89" i="1"/>
  <c r="AH89" i="1" s="1"/>
  <c r="AG75" i="1"/>
  <c r="AH75" i="1" s="1"/>
  <c r="AJ75" i="1"/>
  <c r="AG87" i="1"/>
  <c r="AH87" i="1" s="1"/>
  <c r="AJ71" i="1"/>
  <c r="AG71" i="1"/>
  <c r="AH71" i="1" s="1"/>
  <c r="AG96" i="1"/>
  <c r="AH96" i="1" s="1"/>
  <c r="AJ96" i="1"/>
  <c r="AG93" i="1"/>
  <c r="AH93" i="1" s="1"/>
  <c r="AJ93" i="1"/>
  <c r="AG46" i="1"/>
  <c r="AH46" i="1" s="1"/>
  <c r="AJ46" i="1"/>
  <c r="AG52" i="1"/>
  <c r="AH52" i="1" s="1"/>
  <c r="AJ52" i="1"/>
  <c r="AG51" i="1"/>
  <c r="AH51" i="1" s="1"/>
  <c r="AJ51" i="1"/>
  <c r="AG59" i="1"/>
  <c r="AH59" i="1" s="1"/>
  <c r="AJ59" i="1"/>
  <c r="AG81" i="1"/>
  <c r="AH81" i="1" s="1"/>
  <c r="AJ81" i="1"/>
  <c r="AG82" i="1"/>
  <c r="AH82" i="1" s="1"/>
  <c r="AJ82" i="1"/>
  <c r="AG65" i="1"/>
  <c r="AH65" i="1" s="1"/>
  <c r="AJ65" i="1"/>
  <c r="AG44" i="1"/>
  <c r="AH44" i="1" s="1"/>
  <c r="AJ44" i="1"/>
  <c r="AG100" i="1"/>
  <c r="AH100" i="1" s="1"/>
  <c r="AJ100" i="1"/>
  <c r="AG60" i="1"/>
  <c r="AH60" i="1" s="1"/>
  <c r="AJ60" i="1"/>
  <c r="AG63" i="1"/>
  <c r="AH63" i="1" s="1"/>
  <c r="AJ63" i="1"/>
  <c r="AG47" i="1"/>
  <c r="AH47" i="1" s="1"/>
  <c r="AJ47" i="1"/>
  <c r="AG73" i="1"/>
  <c r="AH73" i="1" s="1"/>
  <c r="AJ73" i="1"/>
  <c r="AG80" i="1"/>
  <c r="AH80" i="1" s="1"/>
  <c r="AJ80" i="1"/>
  <c r="AG48" i="1"/>
  <c r="AH48" i="1" s="1"/>
  <c r="AJ48" i="1"/>
  <c r="AG67" i="1"/>
  <c r="AH67" i="1" s="1"/>
  <c r="AJ67" i="1"/>
  <c r="AG106" i="1"/>
  <c r="AH106" i="1" s="1"/>
  <c r="AJ106" i="1"/>
  <c r="AG97" i="1"/>
  <c r="AH97" i="1" s="1"/>
  <c r="AJ97" i="1"/>
  <c r="AG74" i="1"/>
  <c r="AH74" i="1" s="1"/>
  <c r="AJ74" i="1"/>
  <c r="AK35" i="1"/>
  <c r="AG91" i="1"/>
  <c r="AH91" i="1" s="1"/>
  <c r="AJ91" i="1"/>
  <c r="AG62" i="1"/>
  <c r="AH62" i="1" s="1"/>
  <c r="AJ62" i="1"/>
  <c r="AG49" i="1"/>
  <c r="AH49" i="1" s="1"/>
  <c r="AJ49" i="1"/>
  <c r="AG61" i="1"/>
  <c r="AJ61" i="1"/>
  <c r="AG94" i="1"/>
  <c r="AH94" i="1" s="1"/>
  <c r="AJ94" i="1"/>
  <c r="AG58" i="1"/>
  <c r="AH58" i="1" s="1"/>
  <c r="AJ58" i="1"/>
  <c r="AG85" i="1"/>
  <c r="AH85" i="1" s="1"/>
  <c r="AJ85" i="1"/>
  <c r="AG66" i="1"/>
  <c r="AH66" i="1" s="1"/>
  <c r="AJ66" i="1"/>
  <c r="AG95" i="1"/>
  <c r="AH95" i="1" s="1"/>
  <c r="AJ95" i="1"/>
  <c r="AG68" i="1"/>
  <c r="AJ68" i="1"/>
  <c r="AK68" i="1" s="1"/>
  <c r="AG64" i="1"/>
  <c r="AH64" i="1" s="1"/>
  <c r="AJ64" i="1"/>
  <c r="AG84" i="1"/>
  <c r="AH84" i="1" s="1"/>
  <c r="AJ84" i="1"/>
  <c r="AG83" i="1"/>
  <c r="AH83" i="1" s="1"/>
  <c r="AJ83" i="1"/>
  <c r="AG102" i="1"/>
  <c r="AH102" i="1" s="1"/>
  <c r="AJ102" i="1"/>
  <c r="AG92" i="1"/>
  <c r="AH92" i="1" s="1"/>
  <c r="AJ92" i="1"/>
  <c r="AG76" i="1"/>
  <c r="AH76" i="1" s="1"/>
  <c r="AJ76" i="1"/>
  <c r="AG70" i="1"/>
  <c r="AH70" i="1" s="1"/>
  <c r="AJ70" i="1"/>
  <c r="AG56" i="1"/>
  <c r="AH56" i="1" s="1"/>
  <c r="AJ56" i="1"/>
  <c r="AG98" i="1"/>
  <c r="AH98" i="1" s="1"/>
  <c r="AJ98" i="1"/>
  <c r="AG45" i="1"/>
  <c r="AH45" i="1" s="1"/>
  <c r="AJ45" i="1"/>
  <c r="AG57" i="1"/>
  <c r="AH57" i="1" s="1"/>
  <c r="AJ57" i="1"/>
  <c r="AG99" i="1"/>
  <c r="AH99" i="1" s="1"/>
  <c r="AJ99" i="1"/>
  <c r="AG54" i="1"/>
  <c r="AH54" i="1" s="1"/>
  <c r="AJ54" i="1"/>
  <c r="AG72" i="1"/>
  <c r="AH72" i="1" s="1"/>
  <c r="AJ72" i="1"/>
  <c r="AG103" i="1"/>
  <c r="AH103" i="1" s="1"/>
  <c r="AG69" i="1"/>
  <c r="AH69" i="1" s="1"/>
  <c r="AG86" i="1"/>
  <c r="AH86" i="1" s="1"/>
  <c r="AG55" i="1"/>
  <c r="AH55" i="1" s="1"/>
  <c r="AG53" i="1"/>
  <c r="AH53" i="1" s="1"/>
  <c r="AG101" i="1"/>
  <c r="AH101" i="1" s="1"/>
  <c r="AH68" i="1"/>
  <c r="AH35" i="1"/>
  <c r="AH42" i="1"/>
  <c r="AH26" i="1"/>
  <c r="AH40" i="1"/>
  <c r="AH27" i="1"/>
  <c r="AH22" i="1"/>
  <c r="AH36" i="1"/>
  <c r="AH43" i="1"/>
  <c r="AH33" i="1"/>
  <c r="AH23" i="1"/>
  <c r="AH29" i="1"/>
  <c r="AH28" i="1"/>
  <c r="AH37" i="1"/>
  <c r="AH31" i="1"/>
  <c r="AH38" i="1"/>
  <c r="AH32" i="1"/>
  <c r="AH41" i="1"/>
  <c r="AH61" i="1"/>
  <c r="AH39" i="1"/>
  <c r="AH34" i="1"/>
  <c r="AH30" i="1"/>
  <c r="AH25" i="1"/>
  <c r="AH24" i="1"/>
  <c r="AK76" i="1" l="1"/>
  <c r="AK89" i="1"/>
  <c r="AK88" i="1"/>
  <c r="AK87" i="1"/>
  <c r="AK75" i="1"/>
  <c r="AK62" i="1"/>
  <c r="AK64" i="1"/>
  <c r="AK94" i="1"/>
  <c r="AK67" i="1"/>
  <c r="AK59" i="1"/>
  <c r="AK45" i="1"/>
  <c r="AK66" i="1"/>
  <c r="AK71" i="1"/>
  <c r="AK100" i="1"/>
  <c r="AK51" i="1"/>
  <c r="AK84" i="1"/>
  <c r="AK83" i="1"/>
  <c r="AK54" i="1"/>
  <c r="AK53" i="1"/>
  <c r="AK74" i="1"/>
  <c r="AK46" i="1"/>
  <c r="AK57" i="1"/>
  <c r="AK63" i="1"/>
  <c r="AK70" i="1"/>
  <c r="AK58" i="1"/>
  <c r="AK103" i="1"/>
  <c r="AK55" i="1"/>
  <c r="AK73" i="1"/>
  <c r="AK44" i="1"/>
  <c r="AK52" i="1"/>
  <c r="AK80" i="1"/>
  <c r="AK92" i="1"/>
  <c r="AK61" i="1"/>
  <c r="AK97" i="1"/>
  <c r="AK95" i="1"/>
  <c r="AK47" i="1"/>
  <c r="AK65" i="1"/>
  <c r="AK102" i="1"/>
  <c r="AK49" i="1"/>
  <c r="AK106" i="1"/>
  <c r="AK69" i="1"/>
  <c r="AK82" i="1"/>
  <c r="AK93" i="1"/>
  <c r="AK72" i="1"/>
  <c r="AK56" i="1"/>
  <c r="AK86" i="1"/>
  <c r="AK81" i="1"/>
  <c r="AK96" i="1"/>
  <c r="AK99" i="1"/>
  <c r="AK98" i="1"/>
  <c r="AK101" i="1"/>
  <c r="AK85" i="1"/>
  <c r="AK91" i="1"/>
  <c r="AK48" i="1"/>
  <c r="AK60" i="1"/>
  <c r="U104" i="1"/>
  <c r="V104" i="1" s="1"/>
  <c r="AH21" i="1"/>
  <c r="U77" i="1" l="1"/>
  <c r="V77" i="1" s="1"/>
  <c r="U89" i="1"/>
  <c r="V89" i="1" s="1"/>
  <c r="U88" i="1"/>
  <c r="V88" i="1" s="1"/>
  <c r="U71" i="1"/>
  <c r="V71" i="1" s="1"/>
  <c r="U75" i="1"/>
  <c r="V75" i="1" s="1"/>
  <c r="U69" i="1"/>
  <c r="V69" i="1" s="1"/>
  <c r="U87" i="1"/>
  <c r="V87" i="1" s="1"/>
  <c r="U86" i="1"/>
  <c r="V86" i="1" s="1"/>
  <c r="U103" i="1"/>
  <c r="V103" i="1" s="1"/>
  <c r="U65" i="1"/>
  <c r="V65" i="1" s="1"/>
  <c r="U102" i="1"/>
  <c r="V102" i="1" s="1"/>
  <c r="U85" i="1"/>
  <c r="V85" i="1" s="1"/>
  <c r="U63" i="1"/>
  <c r="V63" i="1" s="1"/>
  <c r="U60" i="1"/>
  <c r="V60" i="1" s="1"/>
  <c r="U83" i="1"/>
  <c r="V83" i="1" s="1"/>
  <c r="U58" i="1"/>
  <c r="V58" i="1" s="1"/>
  <c r="U82" i="1"/>
  <c r="V82" i="1" s="1"/>
  <c r="U81" i="1"/>
  <c r="V81" i="1" s="1"/>
  <c r="U101" i="1"/>
  <c r="V101" i="1" s="1"/>
  <c r="U80" i="1"/>
  <c r="V80" i="1" s="1"/>
  <c r="U100" i="1"/>
  <c r="V100" i="1" s="1"/>
  <c r="U55" i="1"/>
  <c r="V55" i="1" s="1"/>
  <c r="U53" i="1"/>
  <c r="V53" i="1" s="1"/>
  <c r="AD50" i="1"/>
  <c r="AF50" i="1"/>
  <c r="S50" i="1"/>
  <c r="T50" i="1"/>
  <c r="R50" i="1"/>
  <c r="P50" i="1"/>
  <c r="U99" i="1"/>
  <c r="V99" i="1" s="1"/>
  <c r="U62" i="1"/>
  <c r="V62" i="1" s="1"/>
  <c r="U38" i="1"/>
  <c r="V38" i="1" s="1"/>
  <c r="U84" i="1"/>
  <c r="V84" i="1" s="1"/>
  <c r="U32" i="1"/>
  <c r="V32" i="1" s="1"/>
  <c r="U52" i="1"/>
  <c r="V52" i="1" s="1"/>
  <c r="U64" i="1"/>
  <c r="V64" i="1" s="1"/>
  <c r="U36" i="1"/>
  <c r="V36" i="1" s="1"/>
  <c r="U11" i="1"/>
  <c r="V11" i="1" s="1"/>
  <c r="U10" i="1"/>
  <c r="V10" i="1" s="1"/>
  <c r="U44" i="1"/>
  <c r="V44" i="1" s="1"/>
  <c r="U26" i="1"/>
  <c r="V26" i="1" s="1"/>
  <c r="U25" i="1"/>
  <c r="V25" i="1" s="1"/>
  <c r="U43" i="1"/>
  <c r="V43" i="1" s="1"/>
  <c r="U27" i="1"/>
  <c r="V27" i="1" s="1"/>
  <c r="U98" i="1"/>
  <c r="V98" i="1" s="1"/>
  <c r="U46" i="1"/>
  <c r="V46" i="1" s="1"/>
  <c r="U24" i="1"/>
  <c r="V24" i="1" s="1"/>
  <c r="U8" i="1"/>
  <c r="V8" i="1" s="1"/>
  <c r="U45" i="1"/>
  <c r="V45" i="1" s="1"/>
  <c r="U41" i="1"/>
  <c r="V41" i="1" s="1"/>
  <c r="U97" i="1"/>
  <c r="V97" i="1" s="1"/>
  <c r="U76" i="1"/>
  <c r="V76" i="1" s="1"/>
  <c r="U70" i="1"/>
  <c r="V70" i="1" s="1"/>
  <c r="U54" i="1"/>
  <c r="V54" i="1" s="1"/>
  <c r="U5" i="1"/>
  <c r="V5" i="1" s="1"/>
  <c r="U51" i="1"/>
  <c r="V51" i="1" s="1"/>
  <c r="U23" i="1"/>
  <c r="V23" i="1" s="1"/>
  <c r="U34" i="1"/>
  <c r="V34" i="1" s="1"/>
  <c r="U49" i="1"/>
  <c r="V49" i="1" s="1"/>
  <c r="U67" i="1"/>
  <c r="V67" i="1" s="1"/>
  <c r="U4" i="1"/>
  <c r="V4" i="1" s="1"/>
  <c r="U40" i="1"/>
  <c r="V40" i="1" s="1"/>
  <c r="U18" i="1"/>
  <c r="V18" i="1" s="1"/>
  <c r="U56" i="1"/>
  <c r="V56" i="1" s="1"/>
  <c r="U74" i="1"/>
  <c r="V74" i="1" s="1"/>
  <c r="U92" i="1"/>
  <c r="V92" i="1" s="1"/>
  <c r="U29" i="1"/>
  <c r="V29" i="1" s="1"/>
  <c r="U68" i="1"/>
  <c r="V68" i="1" s="1"/>
  <c r="U17" i="1"/>
  <c r="V17" i="1" s="1"/>
  <c r="U12" i="1"/>
  <c r="V12" i="1" s="1"/>
  <c r="U48" i="1"/>
  <c r="V48" i="1" s="1"/>
  <c r="U47" i="1"/>
  <c r="V47" i="1" s="1"/>
  <c r="U93" i="1"/>
  <c r="V93" i="1" s="1"/>
  <c r="U73" i="1"/>
  <c r="V73" i="1" s="1"/>
  <c r="U22" i="1"/>
  <c r="V22" i="1" s="1"/>
  <c r="U35" i="1"/>
  <c r="V35" i="1" s="1"/>
  <c r="U95" i="1"/>
  <c r="V95" i="1" s="1"/>
  <c r="U19" i="1"/>
  <c r="V19" i="1" s="1"/>
  <c r="U91" i="1"/>
  <c r="V91" i="1" s="1"/>
  <c r="U39" i="1"/>
  <c r="V39" i="1" s="1"/>
  <c r="U59" i="1"/>
  <c r="V59" i="1" s="1"/>
  <c r="U42" i="1"/>
  <c r="V42" i="1" s="1"/>
  <c r="U33" i="1"/>
  <c r="V33" i="1" s="1"/>
  <c r="U21" i="1"/>
  <c r="V21" i="1" s="1"/>
  <c r="U66" i="1"/>
  <c r="V66" i="1" s="1"/>
  <c r="U57" i="1"/>
  <c r="V57" i="1" s="1"/>
  <c r="U14" i="1"/>
  <c r="V14" i="1" s="1"/>
  <c r="U20" i="1"/>
  <c r="V20" i="1" s="1"/>
  <c r="U72" i="1"/>
  <c r="V72" i="1" s="1"/>
  <c r="U28" i="1"/>
  <c r="V28" i="1" s="1"/>
  <c r="U15" i="1"/>
  <c r="V15" i="1" s="1"/>
  <c r="U61" i="1"/>
  <c r="V61" i="1" s="1"/>
  <c r="U94" i="1"/>
  <c r="V94" i="1" s="1"/>
  <c r="U9" i="1"/>
  <c r="V9" i="1" s="1"/>
  <c r="U7" i="1"/>
  <c r="V7" i="1" s="1"/>
  <c r="U37" i="1"/>
  <c r="V37" i="1" s="1"/>
  <c r="U30" i="1"/>
  <c r="V30" i="1" s="1"/>
  <c r="U31" i="1"/>
  <c r="V31" i="1" s="1"/>
  <c r="U6" i="1"/>
  <c r="V6" i="1" s="1"/>
  <c r="U96" i="1"/>
  <c r="V96" i="1" s="1"/>
  <c r="U13" i="1"/>
  <c r="V13" i="1" s="1"/>
  <c r="U106" i="1"/>
  <c r="V106" i="1" s="1"/>
  <c r="U16" i="1"/>
  <c r="V16" i="1" s="1"/>
  <c r="U50" i="1"/>
  <c r="Q50" i="1"/>
  <c r="AG50" i="1" l="1"/>
  <c r="AJ50" i="1"/>
  <c r="AE107" i="1"/>
  <c r="V50" i="1"/>
  <c r="AK50" i="1" l="1"/>
  <c r="AD78" i="1"/>
  <c r="AD107" i="1" s="1"/>
  <c r="P78" i="1"/>
  <c r="Q78" i="1"/>
  <c r="Q107" i="1" s="1"/>
  <c r="R78" i="1"/>
  <c r="R107" i="1" s="1"/>
  <c r="AF78" i="1"/>
  <c r="S78" i="1"/>
  <c r="S107" i="1" s="1"/>
  <c r="T78" i="1"/>
  <c r="T107" i="1" s="1"/>
  <c r="U78" i="1"/>
  <c r="AH50" i="1"/>
  <c r="P107" i="1" l="1"/>
  <c r="V78" i="1"/>
  <c r="AG78" i="1"/>
  <c r="AG107" i="1" s="1"/>
  <c r="AJ78" i="1"/>
  <c r="U107" i="1"/>
  <c r="AF107" i="1"/>
  <c r="AK78" i="1" l="1"/>
  <c r="AK107" i="1" s="1"/>
  <c r="AJ107" i="1"/>
  <c r="AH78" i="1"/>
  <c r="AH107" i="1" s="1"/>
  <c r="V107" i="1"/>
</calcChain>
</file>

<file path=xl/sharedStrings.xml><?xml version="1.0" encoding="utf-8"?>
<sst xmlns="http://schemas.openxmlformats.org/spreadsheetml/2006/main" count="278" uniqueCount="251">
  <si>
    <t>Coupon</t>
  </si>
  <si>
    <t>Term</t>
  </si>
  <si>
    <t>Matures</t>
  </si>
  <si>
    <t>Dated</t>
  </si>
  <si>
    <t>Face</t>
  </si>
  <si>
    <t>Total</t>
  </si>
  <si>
    <t>Sold</t>
  </si>
  <si>
    <t>Bought</t>
  </si>
  <si>
    <t>&lt;- Ref CPI</t>
  </si>
  <si>
    <t>Year</t>
  </si>
  <si>
    <t>From</t>
  </si>
  <si>
    <t>To</t>
  </si>
  <si>
    <t>OID Intermediaries</t>
  </si>
  <si>
    <t>On Interest&amp;OID sheet</t>
  </si>
  <si>
    <t>If you've sold, enter settlement date in Sold column.  Otherwise, leave maturity date in Sold column.</t>
  </si>
  <si>
    <t>Either enter 0 in Face column for TIPS you don't own or delete their rows entirely.</t>
  </si>
  <si>
    <t>Enter face value of TIPS you do own in Face column.</t>
  </si>
  <si>
    <t>Background</t>
  </si>
  <si>
    <t>See the first two paragraphs of the sidebar on the following web page for how interest is adjusted for the CPI:</t>
  </si>
  <si>
    <t>OID is calculated as follows:</t>
  </si>
  <si>
    <t>This workbook is intended to be a customizable version of the following web page:</t>
  </si>
  <si>
    <t>Do not edit columns to the right of Face since they contain formulas.</t>
  </si>
  <si>
    <t>To edit non-yellow cells, you'll first need to Unprotect the sheet.</t>
  </si>
  <si>
    <t>Also there is no need to edit columns to the left of Bought unless you're adding a new TIPS on a new row.</t>
  </si>
  <si>
    <t>&lt;- Jan 1 Dates</t>
  </si>
  <si>
    <t>You may wish to hide following columns, especially before printing:</t>
  </si>
  <si>
    <t>Excel workbook for calculating TIPS interest and OID - Insructions for customizing:</t>
  </si>
  <si>
    <t>Enter settlement date you purchased in Bought column.  For auctions this is the Issue Date.</t>
  </si>
  <si>
    <t>Updates</t>
  </si>
  <si>
    <t>http://eyebonds.info/tips/help.html</t>
  </si>
  <si>
    <t>http://eyebonds.info/tips/tipslist_iss.html</t>
  </si>
  <si>
    <t>You can obtain info for TIPS auctions on the following web page:</t>
  </si>
  <si>
    <t>Updated RefCPIs and TIPS issued thru July 2012</t>
  </si>
  <si>
    <t>Fixed URLs above to point to my new domain</t>
  </si>
  <si>
    <t>Changed font from Arial to Verdana so would display in Mac Excel 2011</t>
  </si>
  <si>
    <r>
      <t xml:space="preserve">Unadjusted Interest, </t>
    </r>
    <r>
      <rPr>
        <b/>
        <sz val="10"/>
        <color indexed="12"/>
        <rFont val="Verdana"/>
        <family val="2"/>
      </rPr>
      <t>columns I thru O</t>
    </r>
  </si>
  <si>
    <t>Added Ref CPIs thru 12/1/12</t>
  </si>
  <si>
    <t>Added Ref CPIs thru 1/1/13</t>
  </si>
  <si>
    <t>(This is optional for TIPS purchased before the year being calculated.)</t>
  </si>
  <si>
    <t>To prevent accidentally overtyping values, all the cells are locked except the ones in yellow.</t>
  </si>
  <si>
    <t>Added Ref CPIs thru 1/1/14</t>
  </si>
  <si>
    <t>Enter year in Year cell</t>
  </si>
  <si>
    <t>CPI month and the first day of the Ref CPI month.  For example the CPI for October 2013 is used as the Ref CPI for 1/1/2014.</t>
  </si>
  <si>
    <t>Replace two partial Ref CPI tables with single complete daily Ref CPI table so can display any year since 1997</t>
  </si>
  <si>
    <t>Added Ref CPIs thru 1/1/15</t>
  </si>
  <si>
    <t>Added Ref CPIs thru 1/1/16 and added four TIPS issued in 2015</t>
  </si>
  <si>
    <t>OID</t>
  </si>
  <si>
    <t>Added Ref CPIs thru 6/1/16</t>
  </si>
  <si>
    <t>Added Total OID column at far right to show overall OID from purchase to Bought to Sold dates</t>
  </si>
  <si>
    <t>Added Ref CPIs thru 1/1/17 and added four TIPS issued in 2016</t>
  </si>
  <si>
    <t>Added Ref CPIs thru 1/1/18 and added four TIPS issued in 2017</t>
  </si>
  <si>
    <t>http://eyebonds.info/tips/int/tipsint_2017.html</t>
  </si>
  <si>
    <t>Saved as .XLSX file instead of .XLS since more compact.</t>
  </si>
  <si>
    <t>Added Ref CPIs thru 1/1/19 and added four TIPS issued in 2018</t>
  </si>
  <si>
    <t>Principal</t>
  </si>
  <si>
    <t>Accr Int</t>
  </si>
  <si>
    <t xml:space="preserve">Value as of --&gt; </t>
  </si>
  <si>
    <t xml:space="preserve">Ref CPI --&gt; </t>
  </si>
  <si>
    <t>Add 3 columns to calculate principal value &amp; accrued interest on a given date</t>
  </si>
  <si>
    <t>Updated CPI thru July 2019 &amp; added 4 new TIPS</t>
  </si>
  <si>
    <t>Added Ref CPIs thru 1/1/2020 &amp; added 1 new TIPS (Oct 2024)</t>
  </si>
  <si>
    <t>Added Ref CPIs thru 1/1/2021 &amp; added 5 new TIPS</t>
  </si>
  <si>
    <t>Added Ref CPIs thru 1/1/2022 &amp; added 5 new TIPS</t>
  </si>
  <si>
    <t>Added Ref CPIs thru 1/1/2023 &amp; added 5 new TIPS</t>
  </si>
  <si>
    <t>In Excel 365 this is on the Review menu.</t>
  </si>
  <si>
    <t>Change "AF$2&lt;=C4" to "AF$2&lt;C4" in cell AE4</t>
  </si>
  <si>
    <t>Fixed minor bug in accrued int calc so don't get #NUM when date = maturity date</t>
  </si>
  <si>
    <t>Yield</t>
  </si>
  <si>
    <t>Bid</t>
  </si>
  <si>
    <t>Ask</t>
  </si>
  <si>
    <t>2025 Jul 15</t>
  </si>
  <si>
    <t>2025 Oct 15</t>
  </si>
  <si>
    <t>2026 Jan 15</t>
  </si>
  <si>
    <t>2026 Apr 15</t>
  </si>
  <si>
    <t>2026 Jul 15</t>
  </si>
  <si>
    <t>2026 Oct 15</t>
  </si>
  <si>
    <t>2027 Jan 15</t>
  </si>
  <si>
    <t>2027 Apr 15</t>
  </si>
  <si>
    <t>2027 Jul 15</t>
  </si>
  <si>
    <t>2027 Oct 15</t>
  </si>
  <si>
    <t>2028 Jan 15</t>
  </si>
  <si>
    <t>2028 Apr 15</t>
  </si>
  <si>
    <t>2028 Jul 15</t>
  </si>
  <si>
    <t>2029 Jan 15</t>
  </si>
  <si>
    <t>2029 Apr 15</t>
  </si>
  <si>
    <t>2029 Jul 15</t>
  </si>
  <si>
    <t>2030 Jan 15</t>
  </si>
  <si>
    <t>2030 Jul 15</t>
  </si>
  <si>
    <t>2031 Jan 15</t>
  </si>
  <si>
    <t>2031 Jul 15</t>
  </si>
  <si>
    <t>2032 Jan 15</t>
  </si>
  <si>
    <t>2032 Apr 15</t>
  </si>
  <si>
    <t>2032 Jul 15</t>
  </si>
  <si>
    <t>2033 Jan 15</t>
  </si>
  <si>
    <t>2033 Jul 15</t>
  </si>
  <si>
    <t>2040 Feb 15</t>
  </si>
  <si>
    <t>2041 Feb 15</t>
  </si>
  <si>
    <t>2042 Feb 15</t>
  </si>
  <si>
    <t>2043 Feb 15</t>
  </si>
  <si>
    <t>2044 Feb 15</t>
  </si>
  <si>
    <t>2045 Feb 15</t>
  </si>
  <si>
    <t>2046 Feb 15</t>
  </si>
  <si>
    <t>2047 Feb 15</t>
  </si>
  <si>
    <t>2048 Feb 15</t>
  </si>
  <si>
    <t>2049 Feb 15</t>
  </si>
  <si>
    <t>2050 Feb 15</t>
  </si>
  <si>
    <t>2051 Feb 15</t>
  </si>
  <si>
    <t>2052 Feb 15</t>
  </si>
  <si>
    <t>2053 Feb 15</t>
  </si>
  <si>
    <t>Base CPI</t>
  </si>
  <si>
    <t>Mkt Val</t>
  </si>
  <si>
    <t>Incl Int</t>
  </si>
  <si>
    <t>Bid Price</t>
  </si>
  <si>
    <t>On WSJ sheet</t>
  </si>
  <si>
    <t>https://www.wsj.com/market-data/bonds/tips</t>
  </si>
  <si>
    <t>Steps</t>
  </si>
  <si>
    <t>Press &lt;Delete&gt; to clear any old values</t>
  </si>
  <si>
    <t>Select "wsj_paste_here" range</t>
  </si>
  <si>
    <t>Select top-left cell of "wsj_paste_here" range</t>
  </si>
  <si>
    <t>Open WSJ quotes web page</t>
  </si>
  <si>
    <t>On "Interest&amp;OID" sheet.</t>
  </si>
  <si>
    <t>Paste Special / Text</t>
  </si>
  <si>
    <t>Paste quotes from Wall Street Journal web page. These are updated each business day around 3:30 PM ET.</t>
  </si>
  <si>
    <t>Select and Copy contents from first "Maturity" to last "Accrued Principal"</t>
  </si>
  <si>
    <t>(Note: Accrued Principal from WSJ page is NOT used.)</t>
  </si>
  <si>
    <t>Add monthly CPI thru July 23 &amp; add 4 new TIPS (Jan 33, Feb 53, Apr 28, Jul 33)</t>
  </si>
  <si>
    <t>Add "WSJ" sheet and 3 columns "Bid Price, Mkt Val, &amp; Incl Int" on "Interest&amp;OID sheet"</t>
  </si>
  <si>
    <t>https://data.bls.gov/timeseries/CUUR0000SA0</t>
  </si>
  <si>
    <t>You can get monthly CPI figures from the following Bureau of Labor Statistics web page:</t>
  </si>
  <si>
    <t>Add "AprOct" sheet to calculate actual return</t>
  </si>
  <si>
    <t>Enter Aug 2023 monthly CPI</t>
  </si>
  <si>
    <t>Delete "AprOct" sheet (forget why I added it! But will save in backup copy.)</t>
  </si>
  <si>
    <t>Add Oct 2028 maturity and Sept 2023 CPI.</t>
  </si>
  <si>
    <t>Paste latest WSJ Quotes</t>
  </si>
  <si>
    <t>2028 Oct 15</t>
  </si>
  <si>
    <t>Add CPI for Oct 2023 and 11/14/2023 WSJ TIPS quotes (11/15 settlement)</t>
  </si>
  <si>
    <t>Add CPI for Oct 2024 and 11/12/2024 WSJ TIPS quotes (11/13 settlement)</t>
  </si>
  <si>
    <t>2034 Jan 15</t>
  </si>
  <si>
    <t>2034 Jul 15</t>
  </si>
  <si>
    <t>2054 Feb 15</t>
  </si>
  <si>
    <t>2029 Oct 15</t>
  </si>
  <si>
    <t>Add CPI sheet and eliminate RefCPI sheet to reduce workbook size</t>
  </si>
  <si>
    <t>CPI Month</t>
  </si>
  <si>
    <t>Jan</t>
  </si>
  <si>
    <t>Feb</t>
  </si>
  <si>
    <t>Mar</t>
  </si>
  <si>
    <t>Apr</t>
  </si>
  <si>
    <t>May</t>
  </si>
  <si>
    <t>June</t>
  </si>
  <si>
    <t>July</t>
  </si>
  <si>
    <t>Aug</t>
  </si>
  <si>
    <t>Sep</t>
  </si>
  <si>
    <t>Oct</t>
  </si>
  <si>
    <t>Nov</t>
  </si>
  <si>
    <t>Dec</t>
  </si>
  <si>
    <t>Reported</t>
  </si>
  <si>
    <t>Mid Feb</t>
  </si>
  <si>
    <t>Mid Mar</t>
  </si>
  <si>
    <t>Mid Apr</t>
  </si>
  <si>
    <t>Mid May</t>
  </si>
  <si>
    <t>Mid Jun</t>
  </si>
  <si>
    <t>Mid Jul</t>
  </si>
  <si>
    <t>Mid Aug</t>
  </si>
  <si>
    <t>Mid Sep</t>
  </si>
  <si>
    <t>Mid Oct</t>
  </si>
  <si>
    <t>Mid Nov</t>
  </si>
  <si>
    <t>Mid Dec</t>
  </si>
  <si>
    <t>Mid Jan</t>
  </si>
  <si>
    <t>TIPS Date</t>
  </si>
  <si>
    <t>Apr 1</t>
  </si>
  <si>
    <t>May 1</t>
  </si>
  <si>
    <t>Jun 1</t>
  </si>
  <si>
    <t>Jul 1</t>
  </si>
  <si>
    <t>Aug 1</t>
  </si>
  <si>
    <t>Sep 1</t>
  </si>
  <si>
    <t>Oct 1</t>
  </si>
  <si>
    <t>Nov 1</t>
  </si>
  <si>
    <t>Dec 1</t>
  </si>
  <si>
    <t>Jan 1</t>
  </si>
  <si>
    <t>Feb 1</t>
  </si>
  <si>
    <t>Mar 1</t>
  </si>
  <si>
    <t>From RefCPI</t>
  </si>
  <si>
    <t>To RefCPI</t>
  </si>
  <si>
    <t>Bot RefCPI</t>
  </si>
  <si>
    <t>Sold RefCPI</t>
  </si>
  <si>
    <t>On CPI sheet</t>
  </si>
  <si>
    <t>Enter each new monthly CPI figure when it's released.  There is a three month lag between the</t>
  </si>
  <si>
    <r>
      <t xml:space="preserve">OID Intermediaries, </t>
    </r>
    <r>
      <rPr>
        <b/>
        <sz val="10"/>
        <color indexed="12"/>
        <rFont val="Verdana"/>
        <family val="2"/>
      </rPr>
      <t>columns W thru AB</t>
    </r>
  </si>
  <si>
    <t>Enter settlement date (next business date) in cell AH2</t>
  </si>
  <si>
    <t>Formulas in column AI will look up Bid prices from WSJ sheet.</t>
  </si>
  <si>
    <t>Last mo</t>
  </si>
  <si>
    <t>Count</t>
  </si>
  <si>
    <t>Max date</t>
  </si>
  <si>
    <t>Last yr</t>
  </si>
  <si>
    <t>Min date</t>
  </si>
  <si>
    <t>If &lt;</t>
  </si>
  <si>
    <t>If &gt;</t>
  </si>
  <si>
    <t>&lt;- return</t>
  </si>
  <si>
    <t>&lt;-return</t>
  </si>
  <si>
    <t>Col A</t>
  </si>
  <si>
    <t>Dated date</t>
  </si>
  <si>
    <t>Days in month</t>
  </si>
  <si>
    <t>Monthly CPI</t>
  </si>
  <si>
    <t>Reference CPI</t>
  </si>
  <si>
    <t>Index ratio</t>
  </si>
  <si>
    <t>Col B</t>
  </si>
  <si>
    <t>m/dd/yyyy</t>
  </si>
  <si>
    <t>General</t>
  </si>
  <si>
    <t>mmm yyyy</t>
  </si>
  <si>
    <t>##0.000</t>
  </si>
  <si>
    <t>##0.00000</t>
  </si>
  <si>
    <t>#0.000%</t>
  </si>
  <si>
    <t>Col C</t>
  </si>
  <si>
    <t>Col D</t>
  </si>
  <si>
    <t>Col E</t>
  </si>
  <si>
    <t>Col F</t>
  </si>
  <si>
    <t>Col G</t>
  </si>
  <si>
    <t>Days in period</t>
  </si>
  <si>
    <t>Days before</t>
  </si>
  <si>
    <t>Face value</t>
  </si>
  <si>
    <t>###,##0</t>
  </si>
  <si>
    <t>Value date</t>
  </si>
  <si>
    <t>#0.000000</t>
  </si>
  <si>
    <t>Interpolate days</t>
  </si>
  <si>
    <t>CPI month before</t>
  </si>
  <si>
    <t>CPI month after</t>
  </si>
  <si>
    <t>CPI difference</t>
  </si>
  <si>
    <t>Diff per day</t>
  </si>
  <si>
    <t>Term years</t>
  </si>
  <si>
    <t>Price</t>
  </si>
  <si>
    <t>Adjusted price</t>
  </si>
  <si>
    <t>Accrued interest</t>
  </si>
  <si>
    <t>Total cost</t>
  </si>
  <si>
    <t>##0.0000</t>
  </si>
  <si>
    <t>Yield to maturity</t>
  </si>
  <si>
    <t>6 month interest</t>
  </si>
  <si>
    <t>###,##0.00</t>
  </si>
  <si>
    <t>Indexed principal</t>
  </si>
  <si>
    <t>Indexd princ cost</t>
  </si>
  <si>
    <t>If you buy a new TIPS, copy and insert an entire existing row and then edit Coupon, Term, &amp; Matures,</t>
  </si>
  <si>
    <t>and Bought to Face columns. (You can skip entering Dated Date &amp; Ref CPI since they'll be done by formula.)</t>
  </si>
  <si>
    <t>unch.</t>
  </si>
  <si>
    <t>2030 Apr 15</t>
  </si>
  <si>
    <t>2035 Jan 15</t>
  </si>
  <si>
    <t>2055 Feb 15</t>
  </si>
  <si>
    <t>&lt;-- TRUE of FALSE controls whether column is displayed below</t>
  </si>
  <si>
    <t>&lt;--  column width</t>
  </si>
  <si>
    <t xml:space="preserve">  Monospaced table below intended for [code] block on Bogleheads.org forum.</t>
  </si>
  <si>
    <t>Add Weeds sheet to show Ref CPI calc step-by-step as well as in one hairy formula</t>
  </si>
  <si>
    <t>Add new April 2030 issue and 5/14/2025 WSJ TIPS Quotes</t>
  </si>
  <si>
    <t>CPI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</si>
</sst>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mm/dd/yy;@"/>
    <numFmt numFmtId="165" formatCode="_(* #,##0.000_);_(* \(#,##0.000\);_(* &quot;-&quot;??_);_(@_)"/>
    <numFmt numFmtId="166" formatCode="_(* #,##0.0000_);_(* \(#,##0.0000\);_(* &quot;-&quot;??_);_(@_)"/>
    <numFmt numFmtId="167" formatCode="_(* #,##0_);_(* \(#,##0\);_(* &quot;-&quot;??_);_(@_)"/>
    <numFmt numFmtId="168" formatCode="_(* #,##0.00000_);_(* \(#,##0.00000\);_(* &quot;-&quot;??_);_(@_)"/>
    <numFmt numFmtId="169" formatCode="mm/dd/yyyy"/>
    <numFmt numFmtId="170" formatCode="mmm"/>
    <numFmt numFmtId="171" formatCode="mm/dd/yyyy;0;&quot;-&quot;_)"/>
    <numFmt numFmtId="172" formatCode="_(* #,##0.00_);[Red]_(* \(#,##0.00\);_(* &quot;-&quot;??_);_(@_)"/>
    <numFmt numFmtId="173" formatCode="0.00000"/>
    <numFmt numFmtId="174" formatCode="##0;[Red]\-##0"/>
    <numFmt numFmtId="175" formatCode="_(* #,##0.0_);_(* \(#,##0.0\);_(* &quot;-&quot;??_);_(@_)"/>
    <numFmt numFmtId="176" formatCode="0.000%"/>
    <numFmt numFmtId="177" formatCode="_(* #,##0.000000_);_(* \(#,##0.000000\);_(* &quot;-&quot;??_);_(@_)"/>
    <numFmt numFmtId="178" formatCode="mmm\ yyyy"/>
  </numFmts>
  <fonts count="14" x14ac:knownFonts="1">
    <font>
      <sz val="10"/>
      <name val="Arial"/>
    </font>
    <font>
      <sz val="11"/>
      <color theme="1"/>
      <name val="Calibri"/>
      <family val="2"/>
      <scheme val="minor"/>
    </font>
    <font>
      <sz val="11"/>
      <color theme="1"/>
      <name val="Calibri"/>
      <family val="2"/>
      <scheme val="minor"/>
    </font>
    <font>
      <sz val="10"/>
      <name val="Arial"/>
    </font>
    <font>
      <u/>
      <sz val="10"/>
      <color indexed="12"/>
      <name val="Arial"/>
    </font>
    <font>
      <sz val="8"/>
      <name val="Arial"/>
    </font>
    <font>
      <b/>
      <sz val="10"/>
      <name val="Verdana"/>
      <family val="2"/>
    </font>
    <font>
      <sz val="10"/>
      <name val="Verdana"/>
      <family val="2"/>
    </font>
    <font>
      <b/>
      <sz val="12"/>
      <name val="Verdana"/>
      <family val="2"/>
    </font>
    <font>
      <u/>
      <sz val="10"/>
      <color indexed="12"/>
      <name val="Verdana"/>
      <family val="2"/>
    </font>
    <font>
      <b/>
      <sz val="10"/>
      <color indexed="12"/>
      <name val="Verdana"/>
      <family val="2"/>
    </font>
    <font>
      <b/>
      <sz val="10"/>
      <name val="Arial"/>
      <family val="2"/>
    </font>
    <font>
      <sz val="10"/>
      <name val="Courier New"/>
      <family val="3"/>
    </font>
    <font>
      <sz val="10"/>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CCFFFF"/>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9" fontId="3" fillId="0" borderId="0" applyFont="0" applyFill="0" applyBorder="0" applyAlignment="0" applyProtection="0"/>
  </cellStyleXfs>
  <cellXfs count="165">
    <xf numFmtId="0" fontId="0" fillId="0" borderId="0" xfId="0"/>
    <xf numFmtId="0" fontId="6" fillId="0" borderId="0" xfId="0" applyFont="1"/>
    <xf numFmtId="0" fontId="7" fillId="0" borderId="0" xfId="0" applyFont="1" applyAlignment="1">
      <alignment horizontal="left"/>
    </xf>
    <xf numFmtId="168" fontId="6" fillId="0" borderId="1" xfId="1" applyNumberFormat="1" applyFont="1" applyBorder="1" applyAlignment="1">
      <alignment horizontal="center"/>
    </xf>
    <xf numFmtId="0" fontId="7" fillId="0" borderId="0" xfId="0" applyFont="1"/>
    <xf numFmtId="168" fontId="7" fillId="0" borderId="0" xfId="1" applyNumberFormat="1" applyFont="1"/>
    <xf numFmtId="165" fontId="7" fillId="0" borderId="0" xfId="1" applyNumberFormat="1" applyFont="1"/>
    <xf numFmtId="0" fontId="7" fillId="0" borderId="0" xfId="0" applyFont="1" applyAlignment="1">
      <alignment horizontal="center"/>
    </xf>
    <xf numFmtId="169" fontId="7" fillId="0" borderId="0" xfId="0" applyNumberFormat="1" applyFont="1" applyAlignment="1">
      <alignment horizontal="center"/>
    </xf>
    <xf numFmtId="169" fontId="7" fillId="0" borderId="0" xfId="0" applyNumberFormat="1" applyFont="1" applyAlignment="1">
      <alignment horizontal="left"/>
    </xf>
    <xf numFmtId="167" fontId="7" fillId="0" borderId="0" xfId="1" applyNumberFormat="1" applyFont="1" applyAlignment="1">
      <alignment horizontal="center"/>
    </xf>
    <xf numFmtId="168" fontId="7" fillId="2" borderId="2" xfId="1" applyNumberFormat="1" applyFont="1" applyFill="1" applyBorder="1" applyAlignment="1">
      <alignment horizontal="center"/>
    </xf>
    <xf numFmtId="168" fontId="7" fillId="2" borderId="3" xfId="1" applyNumberFormat="1" applyFont="1" applyFill="1" applyBorder="1" applyAlignment="1">
      <alignment horizontal="center"/>
    </xf>
    <xf numFmtId="168" fontId="7" fillId="2" borderId="4" xfId="1" applyNumberFormat="1" applyFont="1" applyFill="1" applyBorder="1" applyAlignment="1">
      <alignment horizontal="center"/>
    </xf>
    <xf numFmtId="166" fontId="7" fillId="0" borderId="0" xfId="1" applyNumberFormat="1" applyFont="1"/>
    <xf numFmtId="168" fontId="7" fillId="0" borderId="0" xfId="1" applyNumberFormat="1" applyFont="1" applyAlignment="1">
      <alignment horizontal="center"/>
    </xf>
    <xf numFmtId="172" fontId="7" fillId="0" borderId="0" xfId="1" applyNumberFormat="1" applyFont="1"/>
    <xf numFmtId="0" fontId="8" fillId="3" borderId="1" xfId="0" applyFont="1" applyFill="1" applyBorder="1" applyAlignment="1" applyProtection="1">
      <alignment horizontal="center"/>
      <protection locked="0"/>
    </xf>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7" xfId="0" applyFont="1" applyBorder="1" applyAlignment="1">
      <alignment horizontal="centerContinuous"/>
    </xf>
    <xf numFmtId="171" fontId="6" fillId="0" borderId="2" xfId="0" applyNumberFormat="1" applyFont="1" applyBorder="1" applyAlignment="1">
      <alignment horizontal="centerContinuous"/>
    </xf>
    <xf numFmtId="171" fontId="7" fillId="0" borderId="3" xfId="0" applyNumberFormat="1" applyFont="1" applyBorder="1" applyAlignment="1">
      <alignment horizontal="centerContinuous"/>
    </xf>
    <xf numFmtId="168" fontId="7" fillId="0" borderId="3" xfId="1" applyNumberFormat="1" applyFont="1" applyBorder="1" applyAlignment="1">
      <alignment horizontal="centerContinuous"/>
    </xf>
    <xf numFmtId="0" fontId="6" fillId="0" borderId="1" xfId="1" applyNumberFormat="1" applyFont="1" applyBorder="1" applyAlignment="1">
      <alignment horizontal="center"/>
    </xf>
    <xf numFmtId="0" fontId="6" fillId="0" borderId="1" xfId="0" applyFont="1" applyBorder="1" applyAlignment="1">
      <alignment horizontal="center"/>
    </xf>
    <xf numFmtId="170" fontId="6" fillId="0" borderId="1" xfId="0" applyNumberFormat="1" applyFont="1" applyBorder="1" applyAlignment="1">
      <alignment horizontal="center"/>
    </xf>
    <xf numFmtId="171" fontId="6" fillId="0" borderId="1" xfId="0" applyNumberFormat="1" applyFont="1" applyBorder="1" applyAlignment="1">
      <alignment horizontal="center"/>
    </xf>
    <xf numFmtId="0" fontId="6" fillId="0" borderId="0" xfId="0" applyFont="1" applyAlignment="1">
      <alignment horizontal="center"/>
    </xf>
    <xf numFmtId="165" fontId="7" fillId="0" borderId="8" xfId="1" applyNumberFormat="1" applyFont="1" applyBorder="1"/>
    <xf numFmtId="169" fontId="7" fillId="3" borderId="8" xfId="0" applyNumberFormat="1" applyFont="1" applyFill="1" applyBorder="1" applyAlignment="1" applyProtection="1">
      <alignment horizontal="center"/>
      <protection locked="0"/>
    </xf>
    <xf numFmtId="169" fontId="7" fillId="3" borderId="0" xfId="0" applyNumberFormat="1" applyFont="1" applyFill="1" applyAlignment="1" applyProtection="1">
      <alignment horizontal="center"/>
      <protection locked="0"/>
    </xf>
    <xf numFmtId="167" fontId="7" fillId="3" borderId="9" xfId="1" applyNumberFormat="1" applyFont="1" applyFill="1" applyBorder="1" applyProtection="1">
      <protection locked="0"/>
    </xf>
    <xf numFmtId="165" fontId="7" fillId="0" borderId="0" xfId="1" applyNumberFormat="1" applyFont="1" applyBorder="1"/>
    <xf numFmtId="165" fontId="7" fillId="0" borderId="9" xfId="1" applyNumberFormat="1" applyFont="1" applyBorder="1"/>
    <xf numFmtId="43" fontId="7" fillId="0" borderId="8" xfId="1" applyFont="1" applyBorder="1"/>
    <xf numFmtId="43" fontId="7" fillId="0" borderId="0" xfId="1" applyFont="1" applyBorder="1"/>
    <xf numFmtId="43" fontId="7" fillId="0" borderId="9" xfId="1" applyFont="1" applyBorder="1"/>
    <xf numFmtId="171" fontId="7" fillId="0" borderId="5" xfId="1" applyNumberFormat="1" applyFont="1" applyFill="1" applyBorder="1" applyAlignment="1">
      <alignment horizontal="center"/>
    </xf>
    <xf numFmtId="171" fontId="7" fillId="0" borderId="6" xfId="1" applyNumberFormat="1" applyFont="1" applyFill="1" applyBorder="1" applyAlignment="1">
      <alignment horizontal="center"/>
    </xf>
    <xf numFmtId="168" fontId="7" fillId="0" borderId="6" xfId="1" applyNumberFormat="1" applyFont="1" applyBorder="1"/>
    <xf numFmtId="172" fontId="7" fillId="0" borderId="7" xfId="1" applyNumberFormat="1" applyFont="1" applyBorder="1"/>
    <xf numFmtId="171" fontId="7" fillId="0" borderId="8" xfId="1" applyNumberFormat="1" applyFont="1" applyFill="1" applyBorder="1" applyAlignment="1">
      <alignment horizontal="center"/>
    </xf>
    <xf numFmtId="171" fontId="7" fillId="0" borderId="0" xfId="1" applyNumberFormat="1" applyFont="1" applyFill="1" applyBorder="1" applyAlignment="1">
      <alignment horizontal="center"/>
    </xf>
    <xf numFmtId="168" fontId="7" fillId="0" borderId="0" xfId="1" applyNumberFormat="1" applyFont="1" applyBorder="1"/>
    <xf numFmtId="168" fontId="7" fillId="0" borderId="9" xfId="1" applyNumberFormat="1" applyFont="1" applyBorder="1"/>
    <xf numFmtId="172" fontId="7" fillId="0" borderId="9" xfId="1" applyNumberFormat="1" applyFont="1" applyBorder="1"/>
    <xf numFmtId="165" fontId="7" fillId="0" borderId="10" xfId="1" applyNumberFormat="1" applyFont="1" applyBorder="1"/>
    <xf numFmtId="0" fontId="7" fillId="0" borderId="11" xfId="0" applyFont="1" applyBorder="1" applyAlignment="1">
      <alignment horizontal="center"/>
    </xf>
    <xf numFmtId="169" fontId="7" fillId="0" borderId="11" xfId="0" applyNumberFormat="1" applyFont="1" applyBorder="1" applyAlignment="1">
      <alignment horizontal="center"/>
    </xf>
    <xf numFmtId="169" fontId="7" fillId="3" borderId="10" xfId="0" applyNumberFormat="1" applyFont="1" applyFill="1" applyBorder="1" applyAlignment="1" applyProtection="1">
      <alignment horizontal="center"/>
      <protection locked="0"/>
    </xf>
    <xf numFmtId="169" fontId="7" fillId="3" borderId="11" xfId="0" applyNumberFormat="1" applyFont="1" applyFill="1" applyBorder="1" applyAlignment="1" applyProtection="1">
      <alignment horizontal="center"/>
      <protection locked="0"/>
    </xf>
    <xf numFmtId="167" fontId="7" fillId="3" borderId="12" xfId="1" applyNumberFormat="1" applyFont="1" applyFill="1" applyBorder="1" applyProtection="1">
      <protection locked="0"/>
    </xf>
    <xf numFmtId="171" fontId="7" fillId="0" borderId="10" xfId="1" applyNumberFormat="1" applyFont="1" applyFill="1" applyBorder="1" applyAlignment="1">
      <alignment horizontal="center"/>
    </xf>
    <xf numFmtId="171" fontId="7" fillId="0" borderId="11" xfId="1" applyNumberFormat="1" applyFont="1" applyFill="1" applyBorder="1" applyAlignment="1">
      <alignment horizontal="center"/>
    </xf>
    <xf numFmtId="168" fontId="7" fillId="0" borderId="11" xfId="1" applyNumberFormat="1" applyFont="1" applyBorder="1"/>
    <xf numFmtId="168" fontId="7" fillId="0" borderId="12" xfId="1" applyNumberFormat="1" applyFont="1" applyBorder="1"/>
    <xf numFmtId="172" fontId="7" fillId="0" borderId="12" xfId="1" applyNumberFormat="1" applyFont="1" applyBorder="1"/>
    <xf numFmtId="171" fontId="7" fillId="0" borderId="0" xfId="0" applyNumberFormat="1" applyFont="1" applyAlignment="1">
      <alignment horizontal="center"/>
    </xf>
    <xf numFmtId="171" fontId="7" fillId="0" borderId="0" xfId="0" applyNumberFormat="1" applyFont="1"/>
    <xf numFmtId="168" fontId="7" fillId="0" borderId="0" xfId="1" applyNumberFormat="1" applyFont="1" applyBorder="1" applyAlignment="1">
      <alignment horizontal="center"/>
    </xf>
    <xf numFmtId="167" fontId="7" fillId="0" borderId="0" xfId="1" applyNumberFormat="1" applyFont="1"/>
    <xf numFmtId="164" fontId="7" fillId="0" borderId="0" xfId="0" applyNumberFormat="1" applyFont="1" applyAlignment="1">
      <alignment horizontal="center"/>
    </xf>
    <xf numFmtId="0" fontId="7" fillId="0" borderId="0" xfId="0" applyFont="1" applyAlignment="1">
      <alignment horizontal="left" indent="1"/>
    </xf>
    <xf numFmtId="0" fontId="7" fillId="0" borderId="0" xfId="0" applyFont="1" applyAlignment="1">
      <alignment horizontal="left" indent="2"/>
    </xf>
    <xf numFmtId="0" fontId="9" fillId="0" borderId="0" xfId="2" applyFont="1" applyAlignment="1" applyProtection="1">
      <alignment horizontal="left" indent="1"/>
    </xf>
    <xf numFmtId="0" fontId="4" fillId="0" borderId="0" xfId="2" applyAlignment="1" applyProtection="1">
      <alignment horizontal="left" indent="1"/>
    </xf>
    <xf numFmtId="0" fontId="0" fillId="0" borderId="0" xfId="0" applyAlignment="1">
      <alignment horizontal="left" indent="1"/>
    </xf>
    <xf numFmtId="173" fontId="6" fillId="0" borderId="1" xfId="1" applyNumberFormat="1" applyFont="1" applyBorder="1" applyAlignment="1">
      <alignment horizontal="center"/>
    </xf>
    <xf numFmtId="173" fontId="7" fillId="0" borderId="0" xfId="1" applyNumberFormat="1" applyFont="1" applyAlignment="1">
      <alignment horizontal="center"/>
    </xf>
    <xf numFmtId="0" fontId="6" fillId="0" borderId="2" xfId="0" applyFont="1" applyBorder="1" applyAlignment="1">
      <alignment horizontal="center"/>
    </xf>
    <xf numFmtId="43" fontId="7" fillId="0" borderId="0" xfId="1" applyFont="1"/>
    <xf numFmtId="172" fontId="6" fillId="0" borderId="3" xfId="1" applyNumberFormat="1" applyFont="1" applyBorder="1" applyAlignment="1">
      <alignment horizontal="centerContinuous"/>
    </xf>
    <xf numFmtId="43" fontId="6" fillId="0" borderId="15" xfId="1" applyFont="1" applyBorder="1" applyAlignment="1">
      <alignment horizontal="center"/>
    </xf>
    <xf numFmtId="43" fontId="6" fillId="0" borderId="13" xfId="1" applyFont="1" applyBorder="1" applyAlignment="1">
      <alignment horizontal="center"/>
    </xf>
    <xf numFmtId="43" fontId="7" fillId="0" borderId="15" xfId="1" applyFont="1" applyBorder="1"/>
    <xf numFmtId="43" fontId="7" fillId="0" borderId="14" xfId="1" applyFont="1" applyBorder="1"/>
    <xf numFmtId="43" fontId="7" fillId="0" borderId="13" xfId="1" applyFont="1" applyBorder="1"/>
    <xf numFmtId="165" fontId="7" fillId="0" borderId="11" xfId="1" applyNumberFormat="1" applyFont="1" applyBorder="1"/>
    <xf numFmtId="165" fontId="7" fillId="0" borderId="12" xfId="1" applyNumberFormat="1" applyFont="1" applyBorder="1"/>
    <xf numFmtId="43" fontId="7" fillId="0" borderId="10" xfId="1" applyFont="1" applyBorder="1"/>
    <xf numFmtId="43" fontId="7" fillId="0" borderId="11" xfId="1" applyFont="1" applyBorder="1"/>
    <xf numFmtId="43" fontId="7" fillId="0" borderId="12" xfId="1" applyFont="1" applyBorder="1"/>
    <xf numFmtId="0" fontId="7" fillId="0" borderId="0" xfId="0" applyFont="1" applyAlignment="1">
      <alignment horizontal="right"/>
    </xf>
    <xf numFmtId="14" fontId="7" fillId="4" borderId="15" xfId="0" applyNumberFormat="1" applyFont="1" applyFill="1" applyBorder="1" applyAlignment="1" applyProtection="1">
      <alignment horizontal="center"/>
      <protection locked="0"/>
    </xf>
    <xf numFmtId="168" fontId="7" fillId="2" borderId="1" xfId="1" applyNumberFormat="1" applyFont="1" applyFill="1" applyBorder="1" applyAlignment="1" applyProtection="1">
      <alignment horizontal="center"/>
    </xf>
    <xf numFmtId="172" fontId="7" fillId="0" borderId="0" xfId="1" applyNumberFormat="1" applyFont="1" applyBorder="1"/>
    <xf numFmtId="43" fontId="7" fillId="0" borderId="0" xfId="0" applyNumberFormat="1" applyFont="1"/>
    <xf numFmtId="0" fontId="2" fillId="0" borderId="0" xfId="3" applyAlignment="1">
      <alignment horizontal="center"/>
    </xf>
    <xf numFmtId="174" fontId="2" fillId="0" borderId="0" xfId="3" applyNumberFormat="1" applyAlignment="1">
      <alignment horizontal="center"/>
    </xf>
    <xf numFmtId="168" fontId="0" fillId="0" borderId="0" xfId="4" applyNumberFormat="1" applyFont="1" applyAlignment="1">
      <alignment horizontal="center"/>
    </xf>
    <xf numFmtId="0" fontId="2" fillId="5" borderId="0" xfId="3" applyFill="1"/>
    <xf numFmtId="14" fontId="2" fillId="5" borderId="0" xfId="3" applyNumberFormat="1" applyFill="1"/>
    <xf numFmtId="0" fontId="2" fillId="6" borderId="0" xfId="3" applyFill="1"/>
    <xf numFmtId="165" fontId="0" fillId="6" borderId="0" xfId="4" applyNumberFormat="1" applyFont="1" applyFill="1"/>
    <xf numFmtId="43" fontId="0" fillId="6" borderId="0" xfId="4" applyFont="1" applyFill="1"/>
    <xf numFmtId="174" fontId="2" fillId="6" borderId="0" xfId="3" applyNumberFormat="1" applyFill="1"/>
    <xf numFmtId="168" fontId="0" fillId="5" borderId="0" xfId="4" applyNumberFormat="1" applyFont="1" applyFill="1"/>
    <xf numFmtId="0" fontId="2" fillId="0" borderId="0" xfId="3"/>
    <xf numFmtId="174" fontId="2" fillId="0" borderId="0" xfId="3" applyNumberFormat="1"/>
    <xf numFmtId="168" fontId="0" fillId="0" borderId="0" xfId="4" applyNumberFormat="1" applyFont="1"/>
    <xf numFmtId="165" fontId="7" fillId="0" borderId="14" xfId="1" applyNumberFormat="1" applyFont="1" applyBorder="1"/>
    <xf numFmtId="165" fontId="6" fillId="0" borderId="0" xfId="1" applyNumberFormat="1" applyFont="1" applyBorder="1"/>
    <xf numFmtId="169" fontId="6" fillId="0" borderId="0" xfId="0" applyNumberFormat="1" applyFont="1" applyAlignment="1">
      <alignment horizontal="center"/>
    </xf>
    <xf numFmtId="173" fontId="6" fillId="0" borderId="0" xfId="1" applyNumberFormat="1" applyFont="1" applyBorder="1" applyAlignment="1">
      <alignment horizontal="center"/>
    </xf>
    <xf numFmtId="167" fontId="6" fillId="0" borderId="0" xfId="1" applyNumberFormat="1" applyFont="1" applyBorder="1"/>
    <xf numFmtId="43" fontId="6" fillId="0" borderId="0" xfId="1" applyFont="1" applyBorder="1"/>
    <xf numFmtId="171" fontId="6" fillId="0" borderId="0" xfId="0" applyNumberFormat="1" applyFont="1" applyAlignment="1">
      <alignment horizontal="center"/>
    </xf>
    <xf numFmtId="171" fontId="6" fillId="0" borderId="0" xfId="0" applyNumberFormat="1" applyFont="1"/>
    <xf numFmtId="168" fontId="6" fillId="0" borderId="0" xfId="1" applyNumberFormat="1" applyFont="1" applyBorder="1"/>
    <xf numFmtId="168" fontId="6" fillId="0" borderId="0" xfId="1" applyNumberFormat="1" applyFont="1" applyBorder="1" applyAlignment="1">
      <alignment horizontal="center"/>
    </xf>
    <xf numFmtId="172" fontId="6" fillId="0" borderId="0" xfId="1" applyNumberFormat="1" applyFont="1" applyBorder="1"/>
    <xf numFmtId="43" fontId="6" fillId="0" borderId="1" xfId="1" applyFont="1" applyBorder="1" applyAlignment="1">
      <alignment horizontal="center"/>
    </xf>
    <xf numFmtId="43" fontId="7" fillId="0" borderId="6" xfId="0" applyNumberFormat="1" applyFont="1" applyBorder="1"/>
    <xf numFmtId="43" fontId="7" fillId="0" borderId="11" xfId="0" applyNumberFormat="1" applyFont="1" applyBorder="1"/>
    <xf numFmtId="168" fontId="7" fillId="0" borderId="8" xfId="1" applyNumberFormat="1" applyFont="1" applyBorder="1"/>
    <xf numFmtId="168" fontId="7" fillId="0" borderId="10" xfId="1" applyNumberFormat="1" applyFont="1" applyBorder="1"/>
    <xf numFmtId="0" fontId="4" fillId="0" borderId="0" xfId="2" applyAlignment="1" applyProtection="1">
      <alignment horizontal="left" indent="2"/>
    </xf>
    <xf numFmtId="0" fontId="7" fillId="0" borderId="0" xfId="0" applyFont="1" applyAlignment="1">
      <alignment horizontal="left" indent="3"/>
    </xf>
    <xf numFmtId="0" fontId="0" fillId="6" borderId="0" xfId="4" applyNumberFormat="1" applyFont="1" applyFill="1"/>
    <xf numFmtId="0" fontId="1" fillId="0" borderId="0" xfId="3" applyFont="1"/>
    <xf numFmtId="0" fontId="11" fillId="0" borderId="0" xfId="0" applyFont="1" applyAlignment="1">
      <alignment horizontal="center"/>
    </xf>
    <xf numFmtId="175" fontId="0" fillId="0" borderId="0" xfId="1" applyNumberFormat="1" applyFont="1"/>
    <xf numFmtId="165" fontId="0" fillId="0" borderId="0" xfId="1" applyNumberFormat="1" applyFont="1"/>
    <xf numFmtId="0" fontId="0" fillId="0" borderId="0" xfId="0" applyAlignment="1">
      <alignment horizontal="center"/>
    </xf>
    <xf numFmtId="0" fontId="6" fillId="0" borderId="2" xfId="1" applyNumberFormat="1" applyFont="1" applyBorder="1" applyAlignment="1">
      <alignment horizontal="center"/>
    </xf>
    <xf numFmtId="168" fontId="6" fillId="0" borderId="3" xfId="1" applyNumberFormat="1" applyFont="1" applyBorder="1" applyAlignment="1">
      <alignment horizontal="centerContinuous"/>
    </xf>
    <xf numFmtId="168" fontId="7" fillId="0" borderId="6" xfId="1" applyNumberFormat="1" applyFont="1" applyBorder="1" applyAlignment="1">
      <alignment horizontal="center"/>
    </xf>
    <xf numFmtId="168" fontId="7" fillId="0" borderId="11" xfId="1" applyNumberFormat="1" applyFont="1" applyBorder="1" applyAlignment="1">
      <alignment horizontal="center"/>
    </xf>
    <xf numFmtId="168" fontId="7" fillId="0" borderId="6" xfId="1" applyNumberFormat="1" applyFont="1" applyBorder="1" applyAlignment="1">
      <alignment horizontal="centerContinuous"/>
    </xf>
    <xf numFmtId="168" fontId="7" fillId="0" borderId="7" xfId="1" applyNumberFormat="1" applyFont="1" applyBorder="1" applyAlignment="1">
      <alignment horizontal="centerContinuous"/>
    </xf>
    <xf numFmtId="168" fontId="7" fillId="0" borderId="7" xfId="1" applyNumberFormat="1" applyFont="1" applyBorder="1"/>
    <xf numFmtId="14" fontId="0" fillId="0" borderId="0" xfId="0" applyNumberFormat="1"/>
    <xf numFmtId="0" fontId="11" fillId="0" borderId="0" xfId="0" applyFont="1" applyAlignment="1">
      <alignment horizontal="left"/>
    </xf>
    <xf numFmtId="14" fontId="7" fillId="0" borderId="0" xfId="1" applyNumberFormat="1" applyFont="1"/>
    <xf numFmtId="0" fontId="7" fillId="0" borderId="0" xfId="1" applyNumberFormat="1" applyFont="1" applyAlignment="1">
      <alignment horizontal="center"/>
    </xf>
    <xf numFmtId="0" fontId="7" fillId="0" borderId="0" xfId="0" quotePrefix="1" applyFont="1" applyAlignment="1">
      <alignment horizontal="center"/>
    </xf>
    <xf numFmtId="176" fontId="0" fillId="0" borderId="0" xfId="5" applyNumberFormat="1" applyFont="1"/>
    <xf numFmtId="168" fontId="0" fillId="0" borderId="0" xfId="1" applyNumberFormat="1" applyFont="1"/>
    <xf numFmtId="166" fontId="0" fillId="0" borderId="0" xfId="1" applyNumberFormat="1" applyFont="1"/>
    <xf numFmtId="0" fontId="12" fillId="0" borderId="0" xfId="0" applyFont="1"/>
    <xf numFmtId="0" fontId="13" fillId="0" borderId="0" xfId="0" applyFont="1" applyAlignment="1">
      <alignment horizontal="center"/>
    </xf>
    <xf numFmtId="0" fontId="0" fillId="0" borderId="0" xfId="1" applyNumberFormat="1" applyFont="1"/>
    <xf numFmtId="177" fontId="0" fillId="0" borderId="0" xfId="1" applyNumberFormat="1" applyFont="1"/>
    <xf numFmtId="173" fontId="0" fillId="0" borderId="0" xfId="0" applyNumberFormat="1"/>
    <xf numFmtId="43" fontId="0" fillId="0" borderId="0" xfId="1" applyFont="1"/>
    <xf numFmtId="178" fontId="0" fillId="0" borderId="0" xfId="0" applyNumberFormat="1"/>
    <xf numFmtId="0" fontId="0" fillId="0" borderId="0" xfId="0" applyAlignment="1">
      <alignment horizontal="right"/>
    </xf>
    <xf numFmtId="178" fontId="0" fillId="0" borderId="0" xfId="0" applyNumberFormat="1" applyAlignment="1">
      <alignment horizontal="right"/>
    </xf>
    <xf numFmtId="169" fontId="7" fillId="7" borderId="0" xfId="0" applyNumberFormat="1" applyFont="1" applyFill="1" applyAlignment="1">
      <alignment horizontal="center"/>
    </xf>
    <xf numFmtId="173" fontId="7" fillId="7" borderId="14" xfId="1" applyNumberFormat="1" applyFont="1" applyFill="1" applyBorder="1" applyAlignment="1">
      <alignment horizontal="center"/>
    </xf>
    <xf numFmtId="173" fontId="7" fillId="7" borderId="0" xfId="1" applyNumberFormat="1" applyFont="1" applyFill="1" applyBorder="1" applyAlignment="1">
      <alignment horizontal="center"/>
    </xf>
    <xf numFmtId="169" fontId="7" fillId="7" borderId="11" xfId="0" applyNumberFormat="1" applyFont="1" applyFill="1" applyBorder="1" applyAlignment="1">
      <alignment horizontal="center"/>
    </xf>
    <xf numFmtId="173" fontId="7" fillId="7" borderId="13" xfId="1" applyNumberFormat="1" applyFont="1" applyFill="1" applyBorder="1" applyAlignment="1">
      <alignment horizontal="center"/>
    </xf>
    <xf numFmtId="0" fontId="0" fillId="8" borderId="0" xfId="0" applyFill="1"/>
    <xf numFmtId="0" fontId="13" fillId="8" borderId="0" xfId="0" applyFont="1" applyFill="1"/>
    <xf numFmtId="0" fontId="12" fillId="8" borderId="0" xfId="0" applyFont="1" applyFill="1"/>
    <xf numFmtId="0" fontId="13" fillId="0" borderId="0" xfId="0" applyFont="1"/>
    <xf numFmtId="167" fontId="0" fillId="4" borderId="0" xfId="1" applyNumberFormat="1" applyFont="1" applyFill="1" applyAlignment="1" applyProtection="1">
      <alignment horizontal="right"/>
      <protection locked="0"/>
    </xf>
    <xf numFmtId="14" fontId="0" fillId="4" borderId="0" xfId="0" applyNumberFormat="1" applyFill="1" applyProtection="1">
      <protection locked="0"/>
    </xf>
    <xf numFmtId="176" fontId="0" fillId="4" borderId="0" xfId="5" applyNumberFormat="1" applyFont="1" applyFill="1" applyProtection="1">
      <protection locked="0"/>
    </xf>
    <xf numFmtId="0" fontId="0" fillId="4" borderId="0" xfId="0" applyFill="1" applyProtection="1">
      <protection locked="0"/>
    </xf>
    <xf numFmtId="166" fontId="0" fillId="4" borderId="0" xfId="1" applyNumberFormat="1" applyFont="1" applyFill="1" applyProtection="1">
      <protection locked="0"/>
    </xf>
    <xf numFmtId="165" fontId="0" fillId="4" borderId="0" xfId="1" applyNumberFormat="1" applyFont="1" applyFill="1" applyProtection="1">
      <protection locked="0"/>
    </xf>
    <xf numFmtId="0" fontId="4" fillId="0" borderId="0" xfId="2" applyAlignment="1" applyProtection="1"/>
  </cellXfs>
  <cellStyles count="6">
    <cellStyle name="Comma" xfId="1" builtinId="3"/>
    <cellStyle name="Comma 2" xfId="4" xr:uid="{84736AA0-5AF6-444A-9E5E-2E16D1049E8A}"/>
    <cellStyle name="Hyperlink" xfId="2" builtinId="8"/>
    <cellStyle name="Normal" xfId="0" builtinId="0"/>
    <cellStyle name="Normal 2" xfId="3" xr:uid="{6B0252BC-AB8F-4804-B437-EA4C7040997E}"/>
    <cellStyle name="Percent" xfId="5"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xdr:col>
      <xdr:colOff>38100</xdr:colOff>
      <xdr:row>49</xdr:row>
      <xdr:rowOff>9525</xdr:rowOff>
    </xdr:from>
    <xdr:to>
      <xdr:col>3</xdr:col>
      <xdr:colOff>7143750</xdr:colOff>
      <xdr:row>58</xdr:row>
      <xdr:rowOff>66675</xdr:rowOff>
    </xdr:to>
    <xdr:sp macro="" textlink="">
      <xdr:nvSpPr>
        <xdr:cNvPr id="2050" name="Text Box 2">
          <a:extLst>
            <a:ext uri="{FF2B5EF4-FFF2-40B4-BE49-F238E27FC236}">
              <a16:creationId xmlns:a16="http://schemas.microsoft.com/office/drawing/2014/main" id="{055FB72E-7BBC-4E95-A843-05A38C8267D3}"/>
            </a:ext>
          </a:extLst>
        </xdr:cNvPr>
        <xdr:cNvSpPr txBox="1">
          <a:spLocks noChangeArrowheads="1"/>
        </xdr:cNvSpPr>
      </xdr:nvSpPr>
      <xdr:spPr bwMode="auto">
        <a:xfrm>
          <a:off x="1152525" y="5838825"/>
          <a:ext cx="7105650" cy="1514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If a TIPS is held the entire year the OID is From Jan 1 To Jan 1.  If it is purchased during the year, the OID is From the settlement date of the purchase.  If it matures or is sold during the year, the OID is To that date.  The From and To dates are shown in columns W &amp; X.</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The OID equals the difference in the "Index Ratio" between the From and To dates multiplied by the face value of the TIPS.  These are shown in columns Y &amp; Z. The Index Ratio equals the "Reference CPI" on the From or To date divided by the Reference CPI on the "Dated Date" of the TIPS which is shown in column 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For an explanation of how the Reference CPI is derived from the monthly CPI, see the reference in # 2 above.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eb.me.com/rlhinkley/tips/int/tipsint_2011i.html" TargetMode="External"/><Relationship Id="rId1" Type="http://schemas.openxmlformats.org/officeDocument/2006/relationships/hyperlink" Target="http://web.me.com/rlhinkley/tips/int/tipsint_2011i.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data.bls.gov/timeseries/CUUR0000SA0"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eyebonds.info/tips/int/tipsint_2017.html" TargetMode="External"/><Relationship Id="rId7" Type="http://schemas.openxmlformats.org/officeDocument/2006/relationships/drawing" Target="../drawings/drawing1.xml"/><Relationship Id="rId2" Type="http://schemas.openxmlformats.org/officeDocument/2006/relationships/hyperlink" Target="http://eyebonds.info/tips/tipslist_iss.html" TargetMode="External"/><Relationship Id="rId1" Type="http://schemas.openxmlformats.org/officeDocument/2006/relationships/hyperlink" Target="http://eyebonds.info/tips/help.html" TargetMode="External"/><Relationship Id="rId6" Type="http://schemas.openxmlformats.org/officeDocument/2006/relationships/printerSettings" Target="../printerSettings/printerSettings4.bin"/><Relationship Id="rId5" Type="http://schemas.openxmlformats.org/officeDocument/2006/relationships/hyperlink" Target="https://data.bls.gov/timeseries/CUUR0000SA0" TargetMode="External"/><Relationship Id="rId4" Type="http://schemas.openxmlformats.org/officeDocument/2006/relationships/hyperlink" Target="https://www.wsj.com/market-data/bonds/tip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07"/>
  <sheetViews>
    <sheetView tabSelected="1" zoomScale="80" zoomScaleNormal="80" workbookViewId="0">
      <pane xSplit="3" ySplit="3" topLeftCell="D95" activePane="bottomRight" state="frozen"/>
      <selection pane="topRight" activeCell="D1" sqref="D1"/>
      <selection pane="bottomLeft" activeCell="A4" sqref="A4"/>
      <selection pane="bottomRight" activeCell="H2" sqref="H2"/>
    </sheetView>
  </sheetViews>
  <sheetFormatPr defaultColWidth="9.1796875" defaultRowHeight="13.5" x14ac:dyDescent="0.3"/>
  <cols>
    <col min="1" max="1" width="13.453125" style="6" bestFit="1" customWidth="1"/>
    <col min="2" max="2" width="6.54296875" style="7" bestFit="1" customWidth="1"/>
    <col min="3" max="4" width="12.08984375" style="8" bestFit="1" customWidth="1"/>
    <col min="5" max="5" width="11.08984375" style="69" bestFit="1" customWidth="1"/>
    <col min="6" max="7" width="12.08984375" style="8" bestFit="1" customWidth="1"/>
    <col min="8" max="8" width="11.81640625" style="61" customWidth="1"/>
    <col min="9" max="15" width="12.6328125" style="6" hidden="1" customWidth="1"/>
    <col min="16" max="22" width="12.54296875" style="14" bestFit="1" customWidth="1"/>
    <col min="23" max="23" width="11.81640625" style="58" hidden="1" customWidth="1"/>
    <col min="24" max="24" width="11.81640625" style="59" hidden="1" customWidth="1"/>
    <col min="25" max="25" width="17" style="5" hidden="1" customWidth="1"/>
    <col min="26" max="28" width="12.54296875" style="5" hidden="1" customWidth="1"/>
    <col min="29" max="29" width="14.7265625" style="15" bestFit="1" customWidth="1"/>
    <col min="30" max="30" width="12.453125" style="16" bestFit="1" customWidth="1"/>
    <col min="31" max="31" width="13.81640625" style="71" bestFit="1" customWidth="1"/>
    <col min="32" max="32" width="13.81640625" style="4" bestFit="1" customWidth="1"/>
    <col min="33" max="33" width="10.81640625" style="4" customWidth="1"/>
    <col min="34" max="34" width="13.81640625" style="4" bestFit="1" customWidth="1"/>
    <col min="35" max="35" width="14" style="5" bestFit="1" customWidth="1"/>
    <col min="36" max="36" width="14.08984375" style="71" bestFit="1" customWidth="1"/>
    <col min="37" max="37" width="13.81640625" style="71" bestFit="1" customWidth="1"/>
    <col min="38" max="39" width="9.1796875" style="4"/>
    <col min="40" max="40" width="12.08984375" style="8" bestFit="1" customWidth="1"/>
    <col min="41" max="16384" width="9.1796875" style="4"/>
  </cols>
  <sheetData>
    <row r="1" spans="1:41" x14ac:dyDescent="0.3">
      <c r="B1" s="136" t="s">
        <v>195</v>
      </c>
      <c r="C1" s="2" t="s">
        <v>194</v>
      </c>
      <c r="D1" s="134">
        <f>CPI!P1</f>
        <v>35156</v>
      </c>
      <c r="E1" s="135">
        <v>0</v>
      </c>
      <c r="F1" s="9" t="s">
        <v>197</v>
      </c>
      <c r="H1" s="10" t="s">
        <v>9</v>
      </c>
      <c r="P1" s="11">
        <f>IF(P3&lt;$D1,$E1,IF(P3&gt;$D2,$E2,ROUND((VLOOKUP(YEAR(EDATE(P3,-2)),CPI!$A:$M,MONTH(EDATE(P3,-2))+1,FALSE)*(DAY(P3)-1)+VLOOKUP(YEAR(EDATE(P3,-3)),CPI!$A:$M,MONTH(EDATE(P3,-3))+1,FALSE)*(DAY(EOMONTH(P3,0))-DAY(P3)+1))/DAY(EOMONTH(P3,0)),5)))</f>
        <v>315.58677</v>
      </c>
      <c r="Q1" s="12">
        <f>IF(Q3&lt;$D1,$E1,IF(Q3&gt;$D2,$E2,ROUND((VLOOKUP(YEAR(EDATE(Q3,-2)),CPI!$A:$M,MONTH(EDATE(Q3,-2))+1,FALSE)*(DAY(Q3)-1)+VLOOKUP(YEAR(EDATE(Q3,-3)),CPI!$A:$M,MONTH(EDATE(Q3,-3))+1,FALSE)*(DAY(EOMONTH(Q3,0))-DAY(Q3)+1))/DAY(EOMONTH(Q3,0)),5)))</f>
        <v>315.54899999999998</v>
      </c>
      <c r="R1" s="12">
        <f>IF(R3&lt;$D1,$E1,IF(R3&gt;$D2,$E2,ROUND((VLOOKUP(YEAR(EDATE(R3,-2)),CPI!$A:$M,MONTH(EDATE(R3,-2))+1,FALSE)*(DAY(R3)-1)+VLOOKUP(YEAR(EDATE(R3,-3)),CPI!$A:$M,MONTH(EDATE(R3,-3))+1,FALSE)*(DAY(EOMONTH(R3,0))-DAY(R3)+1))/DAY(EOMONTH(R3,0)),5)))</f>
        <v>318.32947000000001</v>
      </c>
      <c r="S1" s="12">
        <f>IF(S3&lt;$D1,$E1,IF(S3&gt;$D2,$E2,ROUND((VLOOKUP(YEAR(EDATE(S3,-2)),CPI!$A:$M,MONTH(EDATE(S3,-2))+1,FALSE)*(DAY(S3)-1)+VLOOKUP(YEAR(EDATE(S3,-3)),CPI!$A:$M,MONTH(EDATE(S3,-3))+1,FALSE)*(DAY(EOMONTH(S3,0))-DAY(S3)+1))/DAY(EOMONTH(S3,0)),5)))</f>
        <v>0</v>
      </c>
      <c r="T1" s="12">
        <f>IF(T3&lt;$D1,$E1,IF(T3&gt;$D2,$E2,ROUND((VLOOKUP(YEAR(EDATE(T3,-2)),CPI!$A:$M,MONTH(EDATE(T3,-2))+1,FALSE)*(DAY(T3)-1)+VLOOKUP(YEAR(EDATE(T3,-3)),CPI!$A:$M,MONTH(EDATE(T3,-3))+1,FALSE)*(DAY(EOMONTH(T3,0))-DAY(T3)+1))/DAY(EOMONTH(T3,0)),5)))</f>
        <v>0</v>
      </c>
      <c r="U1" s="13">
        <f>IF(U3&lt;$D1,$E1,IF(U3&gt;$D2,$E2,ROUND((VLOOKUP(YEAR(EDATE(U3,-2)),CPI!$A:$M,MONTH(EDATE(U3,-2))+1,FALSE)*(DAY(U3)-1)+VLOOKUP(YEAR(EDATE(U3,-3)),CPI!$A:$M,MONTH(EDATE(U3,-3))+1,FALSE)*(DAY(EOMONTH(U3,0))-DAY(U3)+1))/DAY(EOMONTH(U3,0)),5)))</f>
        <v>0</v>
      </c>
      <c r="V1" s="14" t="s">
        <v>8</v>
      </c>
      <c r="W1" s="8">
        <f>DATE($H2,1,1)</f>
        <v>45658</v>
      </c>
      <c r="X1" s="8">
        <f>MIN(DATE($H2+1,1,1),D2)</f>
        <v>45839</v>
      </c>
      <c r="Y1" s="5" t="s">
        <v>24</v>
      </c>
      <c r="AG1" s="83" t="s">
        <v>57</v>
      </c>
      <c r="AH1" s="85">
        <f>ROUND((VLOOKUP(YEAR(EDATE(AH2,-2)),CPI!$A:$M,MONTH(EDATE(AH2,-2))+1,FALSE)*(DAY(AH2)-1)+VLOOKUP(YEAR(EDATE(AH2,-3)),CPI!$A:$M,MONTH(EDATE(AH2,-3))+1,FALSE)*(DAY(EOMONTH(AH2,0))-DAY(AH2)+1))/DAY(EOMONTH(AH2,0)),5)</f>
        <v>319.38267999999999</v>
      </c>
      <c r="AN1" s="134">
        <v>35156</v>
      </c>
    </row>
    <row r="2" spans="1:41" ht="15" x14ac:dyDescent="0.3">
      <c r="B2" s="7" t="s">
        <v>196</v>
      </c>
      <c r="C2" s="2" t="s">
        <v>192</v>
      </c>
      <c r="D2" s="134">
        <f>CPI!P5</f>
        <v>45839</v>
      </c>
      <c r="E2" s="135">
        <v>0</v>
      </c>
      <c r="F2" s="4" t="s">
        <v>198</v>
      </c>
      <c r="G2" s="4"/>
      <c r="H2" s="17">
        <v>2025</v>
      </c>
      <c r="I2" s="18" t="str">
        <f>"Unadjusted Interest for " &amp; $H$2</f>
        <v>Unadjusted Interest for 2025</v>
      </c>
      <c r="J2" s="19"/>
      <c r="K2" s="19"/>
      <c r="L2" s="19"/>
      <c r="M2" s="19"/>
      <c r="N2" s="19"/>
      <c r="O2" s="20"/>
      <c r="P2" s="18" t="str">
        <f>"Adjusted Interest for " &amp; $H$2</f>
        <v>Adjusted Interest for 2025</v>
      </c>
      <c r="Q2" s="19"/>
      <c r="R2" s="19"/>
      <c r="S2" s="19"/>
      <c r="T2" s="19"/>
      <c r="U2" s="19"/>
      <c r="V2" s="19"/>
      <c r="W2" s="21" t="s">
        <v>12</v>
      </c>
      <c r="X2" s="22"/>
      <c r="Y2" s="23"/>
      <c r="Z2" s="23"/>
      <c r="AA2" s="129"/>
      <c r="AB2" s="130"/>
      <c r="AE2" s="73" t="s">
        <v>5</v>
      </c>
      <c r="AG2" s="83" t="s">
        <v>56</v>
      </c>
      <c r="AH2" s="84">
        <v>45791</v>
      </c>
      <c r="AN2" s="134">
        <v>45839</v>
      </c>
    </row>
    <row r="3" spans="1:41" s="28" customFormat="1" x14ac:dyDescent="0.3">
      <c r="A3" s="24" t="s">
        <v>0</v>
      </c>
      <c r="B3" s="25" t="s">
        <v>1</v>
      </c>
      <c r="C3" s="25" t="s">
        <v>2</v>
      </c>
      <c r="D3" s="70" t="s">
        <v>3</v>
      </c>
      <c r="E3" s="68" t="s">
        <v>109</v>
      </c>
      <c r="F3" s="25" t="s">
        <v>7</v>
      </c>
      <c r="G3" s="25" t="s">
        <v>6</v>
      </c>
      <c r="H3" s="24" t="s">
        <v>4</v>
      </c>
      <c r="I3" s="26">
        <f>DATE($H$2,1,15)</f>
        <v>45672</v>
      </c>
      <c r="J3" s="26">
        <f>DATE($H$2,2,15)</f>
        <v>45703</v>
      </c>
      <c r="K3" s="26">
        <f>DATE($H$2,4,15)</f>
        <v>45762</v>
      </c>
      <c r="L3" s="26">
        <f>DATE($H$2,7,15)</f>
        <v>45853</v>
      </c>
      <c r="M3" s="26">
        <f>DATE($H$2,8,15)</f>
        <v>45884</v>
      </c>
      <c r="N3" s="26">
        <f>DATE($H$2,10,15)</f>
        <v>45945</v>
      </c>
      <c r="O3" s="25" t="s">
        <v>5</v>
      </c>
      <c r="P3" s="26">
        <f>DATE($H$2,1,15)</f>
        <v>45672</v>
      </c>
      <c r="Q3" s="26">
        <f>DATE($H$2,2,15)</f>
        <v>45703</v>
      </c>
      <c r="R3" s="26">
        <f>DATE($H$2,4,15)</f>
        <v>45762</v>
      </c>
      <c r="S3" s="26">
        <f>DATE($H$2,7,15)</f>
        <v>45853</v>
      </c>
      <c r="T3" s="26">
        <f>DATE($H$2,8,15)</f>
        <v>45884</v>
      </c>
      <c r="U3" s="26">
        <f>DATE($H$2,10,15)</f>
        <v>45945</v>
      </c>
      <c r="V3" s="125" t="s">
        <v>5</v>
      </c>
      <c r="W3" s="27" t="s">
        <v>10</v>
      </c>
      <c r="X3" s="27" t="s">
        <v>11</v>
      </c>
      <c r="Y3" s="3" t="s">
        <v>181</v>
      </c>
      <c r="Z3" s="3" t="s">
        <v>182</v>
      </c>
      <c r="AA3" s="3" t="s">
        <v>183</v>
      </c>
      <c r="AB3" s="3" t="s">
        <v>184</v>
      </c>
      <c r="AC3" s="126" t="str">
        <f>"OID for " &amp; H2 &amp; IF(AND(H2=YEAR(D2),MONTH(D2)&lt;12)," (to " &amp; TEXT(D2,"m/d")&amp;")","")</f>
        <v>OID for 2025 (to 7/1)</v>
      </c>
      <c r="AD3" s="72"/>
      <c r="AE3" s="74" t="s">
        <v>46</v>
      </c>
      <c r="AF3" s="25" t="s">
        <v>54</v>
      </c>
      <c r="AG3" s="25" t="s">
        <v>55</v>
      </c>
      <c r="AH3" s="70" t="s">
        <v>5</v>
      </c>
      <c r="AI3" s="3" t="s">
        <v>112</v>
      </c>
      <c r="AJ3" s="112" t="s">
        <v>110</v>
      </c>
      <c r="AK3" s="112" t="s">
        <v>111</v>
      </c>
      <c r="AN3" s="70" t="s">
        <v>3</v>
      </c>
    </row>
    <row r="4" spans="1:41" x14ac:dyDescent="0.3">
      <c r="A4" s="29">
        <v>3.625</v>
      </c>
      <c r="B4" s="7">
        <v>5</v>
      </c>
      <c r="C4" s="8">
        <v>37452</v>
      </c>
      <c r="D4" s="149">
        <f>EDATE(C4,-12*B4)</f>
        <v>35626</v>
      </c>
      <c r="E4" s="150">
        <f>ROUND((VLOOKUP(YEAR(EDATE(D4,-2)),CPI!$A:$M,MONTH(EDATE(D4,-2))+1,FALSE)*(DAY(D4)-1)+VLOOKUP(YEAR(EDATE(D4,-3)),CPI!$A:$M,MONTH(EDATE(D4,-3))+1,FALSE)*(DAY(EOMONTH(D4,0))-DAY(D4)+1))/DAY(EOMONTH(D4,0)),5)</f>
        <v>160.15484000000001</v>
      </c>
      <c r="F4" s="30">
        <v>35626</v>
      </c>
      <c r="G4" s="31">
        <v>37452</v>
      </c>
      <c r="H4" s="32">
        <v>1000</v>
      </c>
      <c r="I4" s="33">
        <f t="shared" ref="I4:I36" si="0">IF(AND($F4&lt;I$3,I$3&lt;=$G4,MOD(MONTH($C4),6)=MOD(MONTH(I$3),6)),$H4*($A4/200),0)</f>
        <v>0</v>
      </c>
      <c r="J4" s="33">
        <f t="shared" ref="J4:N32" si="1">IF(AND($F4&lt;J$3,J$3&lt;=$G4,MOD(MONTH($C4),6)=MOD(MONTH(J$3),6)),$H4*($A4/200),0)</f>
        <v>0</v>
      </c>
      <c r="K4" s="33">
        <f t="shared" si="1"/>
        <v>0</v>
      </c>
      <c r="L4" s="29">
        <f t="shared" si="1"/>
        <v>0</v>
      </c>
      <c r="M4" s="33">
        <f t="shared" si="1"/>
        <v>0</v>
      </c>
      <c r="N4" s="34">
        <f t="shared" si="1"/>
        <v>0</v>
      </c>
      <c r="O4" s="34">
        <f t="shared" ref="O4:O18" si="2">SUM(I4:N4)</f>
        <v>0</v>
      </c>
      <c r="P4" s="35">
        <f>ROUND(ROUND(P$1/$E4,5)*I4,2)</f>
        <v>0</v>
      </c>
      <c r="Q4" s="36">
        <f>ROUND(ROUND(Q$1/$E4,5)*J4,2)</f>
        <v>0</v>
      </c>
      <c r="R4" s="37">
        <f>ROUND(ROUND(R$1/$E4,5)*K4,2)</f>
        <v>0</v>
      </c>
      <c r="S4" s="35">
        <f t="shared" ref="S4:S18" si="3">ROUND(ROUND(S$1/$E4,5)*L4,2)</f>
        <v>0</v>
      </c>
      <c r="T4" s="36">
        <f t="shared" ref="T4:T18" si="4">ROUND(ROUND(T$1/$E4,5)*M4,2)</f>
        <v>0</v>
      </c>
      <c r="U4" s="37">
        <f t="shared" ref="U4:U18" si="5">ROUND(ROUND(U$1/$E4,5)*N4,2)</f>
        <v>0</v>
      </c>
      <c r="V4" s="36">
        <f>SUM(P4:U4)</f>
        <v>0</v>
      </c>
      <c r="W4" s="38">
        <f>IF(F4&lt;$X$1,MAX(F4,$W$1),0)</f>
        <v>45658</v>
      </c>
      <c r="X4" s="39">
        <f>IF(G4&gt;$W$1,MIN(G4,$X$1),0)</f>
        <v>0</v>
      </c>
      <c r="Y4" s="40">
        <f>IF(W4=0,0,ROUND((VLOOKUP(YEAR(EDATE(W4,-2)),CPI!$A:$M,MONTH(EDATE(W4,-2))+1,FALSE)*(DAY(W4)-1)+VLOOKUP(YEAR(EDATE(W4,-3)),CPI!$A:$M,MONTH(EDATE(W4,-3))+1,FALSE)*(DAY(EOMONTH(W4,0))-DAY(W4)+1))/DAY(EOMONTH(W4,0)),5))</f>
        <v>315.66399999999999</v>
      </c>
      <c r="Z4" s="40">
        <f>IF(X4=0,0,ROUND((VLOOKUP(YEAR(EDATE(X4,-2)),CPI!$A:$M,MONTH(EDATE(X4,-2))+1,FALSE)*(DAY(X4)-1)+VLOOKUP(YEAR(EDATE(X4,-3)),CPI!$A:$M,MONTH(EDATE(X4,-3))+1,FALSE)*(DAY(EOMONTH(X4,0))-DAY(X4)+1))/DAY(EOMONTH(X4,0)),5))</f>
        <v>0</v>
      </c>
      <c r="AA4" s="40">
        <f>ROUND((VLOOKUP(YEAR(EDATE(F4,-2)),CPI!$A:$M,MONTH(EDATE(F4,-2))+1,FALSE)*(DAY(F4)-1)+VLOOKUP(YEAR(EDATE(F4,-3)),CPI!$A:$M,MONTH(EDATE(F4,-3))+1,FALSE)*(DAY(EOMONTH(F4,0))-DAY(F4)+1))/DAY(EOMONTH(F4,0)),5)</f>
        <v>160.15484000000001</v>
      </c>
      <c r="AB4" s="131">
        <f>IF(G4&lt;D$1,E$1,IF(G4&gt;D$2,E$2,ROUND((VLOOKUP(YEAR(EDATE(G4,-2)),CPI!$A:$M,MONTH(EDATE(G4,-2))+1,FALSE)*(DAY(G4)-1)+VLOOKUP(YEAR(EDATE(G4,-3)),CPI!$A:$M,MONTH(EDATE(G4,-3))+1,FALSE)*(DAY(EOMONTH(G4,0))-DAY(G4)+1))/DAY(EOMONTH(G4,0)),5)))</f>
        <v>179.8</v>
      </c>
      <c r="AC4" s="127" t="str">
        <f>IF(AND($W4&gt;0,$X4&gt;0,OR($W4&lt;&gt;$W$1,$X4&lt;&gt;$X$1)),TEXT($W4,"mm/dd")&amp;"-"&amp;TEXT($X4,"mm/dd"),"")</f>
        <v/>
      </c>
      <c r="AD4" s="41">
        <f t="shared" ref="AD4:AD106" si="6">$H4*IF(OR($Y4=0,$Z4=0),0,ROUND($Z4/$E4,5)-ROUND($Y4/$E4,5))</f>
        <v>0</v>
      </c>
      <c r="AE4" s="75">
        <f>IF(ISERROR(AB4),0,IF(AB4=0,0,H4*(ROUND(AB4/E4,5)-ROUND(AA4/E4,5))))</f>
        <v>122.66</v>
      </c>
      <c r="AF4" s="71">
        <f>IF(AND(F4&lt;=AH$2,AH$2&lt;=G4),ROUND(ROUND(AH$1/E4,5)*H4,2),0)</f>
        <v>0</v>
      </c>
      <c r="AG4" s="71">
        <f>IF(AND(F4&lt;=AH$2,AH$2&lt;C4),ROUND(AF4*(A4/200)*COUPDAYBS(AH$2,C4,2,1)/COUPDAYS(AH$2,C4,2,1),2),0)</f>
        <v>0</v>
      </c>
      <c r="AH4" s="113">
        <f>AF4+AG4</f>
        <v>0</v>
      </c>
      <c r="AI4" s="115">
        <f t="shared" ref="AI4:AI35" si="7">IF(AND(F4&lt;=AH$2,AH$2&lt;=G4),VLOOKUP(TEXT(C4,"yyyy-mmdd")&amp;"-"&amp;TEXT(A4,"0.000"),wsj_quotes,10,FALSE),0)</f>
        <v>0</v>
      </c>
      <c r="AJ4" s="36">
        <f>AF4*(AI4/100)</f>
        <v>0</v>
      </c>
      <c r="AK4" s="37">
        <f>AJ4+AG4</f>
        <v>0</v>
      </c>
      <c r="AN4" s="8">
        <v>35626</v>
      </c>
      <c r="AO4" s="4" t="b">
        <f>AN4=D4</f>
        <v>1</v>
      </c>
    </row>
    <row r="5" spans="1:41" x14ac:dyDescent="0.3">
      <c r="A5" s="29">
        <v>3.375</v>
      </c>
      <c r="B5" s="7">
        <v>10</v>
      </c>
      <c r="C5" s="8">
        <v>39097</v>
      </c>
      <c r="D5" s="149">
        <f t="shared" ref="D5:D68" si="8">EDATE(C5,-12*B5)</f>
        <v>35445</v>
      </c>
      <c r="E5" s="150">
        <f>ROUND((VLOOKUP(YEAR(EDATE(D5,-2)),CPI!$A:$M,MONTH(EDATE(D5,-2))+1,FALSE)*(DAY(D5)-1)+VLOOKUP(YEAR(EDATE(D5,-3)),CPI!$A:$M,MONTH(EDATE(D5,-3))+1,FALSE)*(DAY(EOMONTH(D5,0))-DAY(D5)+1))/DAY(EOMONTH(D5,0)),5)</f>
        <v>158.43548000000001</v>
      </c>
      <c r="F5" s="30">
        <v>35467</v>
      </c>
      <c r="G5" s="31">
        <v>39097</v>
      </c>
      <c r="H5" s="32">
        <v>1000</v>
      </c>
      <c r="I5" s="33">
        <f t="shared" si="0"/>
        <v>0</v>
      </c>
      <c r="J5" s="33">
        <f t="shared" si="1"/>
        <v>0</v>
      </c>
      <c r="K5" s="33">
        <f t="shared" si="1"/>
        <v>0</v>
      </c>
      <c r="L5" s="29">
        <f t="shared" si="1"/>
        <v>0</v>
      </c>
      <c r="M5" s="33">
        <f t="shared" si="1"/>
        <v>0</v>
      </c>
      <c r="N5" s="34">
        <f t="shared" si="1"/>
        <v>0</v>
      </c>
      <c r="O5" s="34">
        <f t="shared" si="2"/>
        <v>0</v>
      </c>
      <c r="P5" s="35">
        <f t="shared" ref="P5:P18" si="9">ROUND(ROUND(P$1/$E5,5)*I5,2)</f>
        <v>0</v>
      </c>
      <c r="Q5" s="36">
        <f t="shared" ref="Q5:Q18" si="10">ROUND(ROUND(Q$1/$E5,5)*J5,2)</f>
        <v>0</v>
      </c>
      <c r="R5" s="37">
        <f t="shared" ref="R5:R18" si="11">ROUND(ROUND(R$1/$E5,5)*K5,2)</f>
        <v>0</v>
      </c>
      <c r="S5" s="35">
        <f t="shared" si="3"/>
        <v>0</v>
      </c>
      <c r="T5" s="36">
        <f t="shared" si="4"/>
        <v>0</v>
      </c>
      <c r="U5" s="37">
        <f t="shared" si="5"/>
        <v>0</v>
      </c>
      <c r="V5" s="36">
        <f t="shared" ref="V5:V18" si="12">SUM(P5:U5)</f>
        <v>0</v>
      </c>
      <c r="W5" s="42">
        <f t="shared" ref="W5:W18" si="13">IF(F5&lt;$X$1,MAX(F5,$W$1),0)</f>
        <v>45658</v>
      </c>
      <c r="X5" s="43">
        <f t="shared" ref="X5:X18" si="14">IF(G5&gt;$W$1,MIN(G5,$X$1),0)</f>
        <v>0</v>
      </c>
      <c r="Y5" s="44">
        <f>IF(W5=0,0,ROUND((VLOOKUP(YEAR(EDATE(W5,-2)),CPI!$A:$M,MONTH(EDATE(W5,-2))+1,FALSE)*(DAY(W5)-1)+VLOOKUP(YEAR(EDATE(W5,-3)),CPI!$A:$M,MONTH(EDATE(W5,-3))+1,FALSE)*(DAY(EOMONTH(W5,0))-DAY(W5)+1))/DAY(EOMONTH(W5,0)),5))</f>
        <v>315.66399999999999</v>
      </c>
      <c r="Z5" s="44">
        <f>IF(X5=0,0,ROUND((VLOOKUP(YEAR(EDATE(X5,-2)),CPI!$A:$M,MONTH(EDATE(X5,-2))+1,FALSE)*(DAY(X5)-1)+VLOOKUP(YEAR(EDATE(X5,-3)),CPI!$A:$M,MONTH(EDATE(X5,-3))+1,FALSE)*(DAY(EOMONTH(X5,0))-DAY(X5)+1))/DAY(EOMONTH(X5,0)),5))</f>
        <v>0</v>
      </c>
      <c r="AA5" s="44">
        <f>ROUND((VLOOKUP(YEAR(EDATE(F5,-2)),CPI!$A:$M,MONTH(EDATE(F5,-2))+1,FALSE)*(DAY(F5)-1)+VLOOKUP(YEAR(EDATE(F5,-3)),CPI!$A:$M,MONTH(EDATE(F5,-3))+1,FALSE)*(DAY(EOMONTH(F5,0))-DAY(F5)+1))/DAY(EOMONTH(F5,0)),5)</f>
        <v>158.6</v>
      </c>
      <c r="AB5" s="45">
        <f>IF(G5&lt;D$1,E$1,IF(G5&gt;D$2,E$2,ROUND((VLOOKUP(YEAR(EDATE(G5,-2)),CPI!$A:$M,MONTH(EDATE(G5,-2))+1,FALSE)*(DAY(G5)-1)+VLOOKUP(YEAR(EDATE(G5,-3)),CPI!$A:$M,MONTH(EDATE(G5,-3))+1,FALSE)*(DAY(EOMONTH(G5,0))-DAY(G5)+1))/DAY(EOMONTH(G5,0)),5)))</f>
        <v>201.66452000000001</v>
      </c>
      <c r="AC5" s="60" t="str">
        <f t="shared" ref="AC5:AC106" si="15">IF(AND($W5&gt;0,$X5&gt;0,OR($W5&lt;&gt;$W$1,$X5&lt;&gt;$X$1)),TEXT($W5,"mm/dd")&amp;"-"&amp;TEXT($X5,"mm/dd"),"")</f>
        <v/>
      </c>
      <c r="AD5" s="46">
        <f t="shared" si="6"/>
        <v>0</v>
      </c>
      <c r="AE5" s="76">
        <f t="shared" ref="AE5:AE68" si="16">IF(ISERROR(AB5),0,IF(AB5=0,0,H5*(ROUND(AB5/E5,5)-ROUND(AA5/E5,5))))</f>
        <v>271.81000000000012</v>
      </c>
      <c r="AF5" s="71">
        <f t="shared" ref="AF5:AF35" si="17">IF(AND(F5&lt;=AH$2,AH$2&lt;=G5),ROUND(ROUND(AH$1/E5,5)*H5,2),0)</f>
        <v>0</v>
      </c>
      <c r="AG5" s="71">
        <f t="shared" ref="AG5:AG68" si="18">IF(AND(F5&lt;=AH$2,AH$2&lt;C5),ROUND(AF5*(A5/200)*COUPDAYBS(AH$2,C5,2,1)/COUPDAYS(AH$2,C5,2,1),2),0)</f>
        <v>0</v>
      </c>
      <c r="AH5" s="87">
        <f t="shared" ref="AH5:AH94" si="19">AF5+AG5</f>
        <v>0</v>
      </c>
      <c r="AI5" s="115">
        <f t="shared" si="7"/>
        <v>0</v>
      </c>
      <c r="AJ5" s="36">
        <f t="shared" ref="AJ5:AJ68" si="20">AF5*(AI5/100)</f>
        <v>0</v>
      </c>
      <c r="AK5" s="37">
        <f t="shared" ref="AK5:AK68" si="21">AJ5+AG5</f>
        <v>0</v>
      </c>
      <c r="AN5" s="8">
        <v>35445</v>
      </c>
      <c r="AO5" s="4" t="b">
        <f t="shared" ref="AO5:AO68" si="22">AN5=D5</f>
        <v>1</v>
      </c>
    </row>
    <row r="6" spans="1:41" x14ac:dyDescent="0.3">
      <c r="A6" s="29">
        <v>3.625</v>
      </c>
      <c r="B6" s="7">
        <v>10</v>
      </c>
      <c r="C6" s="8">
        <v>39462</v>
      </c>
      <c r="D6" s="149">
        <f t="shared" si="8"/>
        <v>35810</v>
      </c>
      <c r="E6" s="150">
        <f>ROUND((VLOOKUP(YEAR(EDATE(D6,-2)),CPI!$A:$M,MONTH(EDATE(D6,-2))+1,FALSE)*(DAY(D6)-1)+VLOOKUP(YEAR(EDATE(D6,-3)),CPI!$A:$M,MONTH(EDATE(D6,-3))+1,FALSE)*(DAY(EOMONTH(D6,0))-DAY(D6)+1))/DAY(EOMONTH(D6,0)),5)</f>
        <v>161.55484000000001</v>
      </c>
      <c r="F6" s="30">
        <v>35810</v>
      </c>
      <c r="G6" s="31">
        <v>39462</v>
      </c>
      <c r="H6" s="32">
        <v>1000</v>
      </c>
      <c r="I6" s="33">
        <f t="shared" si="0"/>
        <v>0</v>
      </c>
      <c r="J6" s="33">
        <f t="shared" si="1"/>
        <v>0</v>
      </c>
      <c r="K6" s="33">
        <f t="shared" si="1"/>
        <v>0</v>
      </c>
      <c r="L6" s="29">
        <f t="shared" si="1"/>
        <v>0</v>
      </c>
      <c r="M6" s="33">
        <f t="shared" si="1"/>
        <v>0</v>
      </c>
      <c r="N6" s="34">
        <f t="shared" si="1"/>
        <v>0</v>
      </c>
      <c r="O6" s="34">
        <f t="shared" si="2"/>
        <v>0</v>
      </c>
      <c r="P6" s="35">
        <f t="shared" si="9"/>
        <v>0</v>
      </c>
      <c r="Q6" s="36">
        <f t="shared" si="10"/>
        <v>0</v>
      </c>
      <c r="R6" s="37">
        <f t="shared" si="11"/>
        <v>0</v>
      </c>
      <c r="S6" s="35">
        <f t="shared" si="3"/>
        <v>0</v>
      </c>
      <c r="T6" s="36">
        <f t="shared" si="4"/>
        <v>0</v>
      </c>
      <c r="U6" s="37">
        <f t="shared" si="5"/>
        <v>0</v>
      </c>
      <c r="V6" s="36">
        <f t="shared" si="12"/>
        <v>0</v>
      </c>
      <c r="W6" s="42">
        <f t="shared" si="13"/>
        <v>45658</v>
      </c>
      <c r="X6" s="43">
        <f t="shared" si="14"/>
        <v>0</v>
      </c>
      <c r="Y6" s="44">
        <f>IF(W6=0,0,ROUND((VLOOKUP(YEAR(EDATE(W6,-2)),CPI!$A:$M,MONTH(EDATE(W6,-2))+1,FALSE)*(DAY(W6)-1)+VLOOKUP(YEAR(EDATE(W6,-3)),CPI!$A:$M,MONTH(EDATE(W6,-3))+1,FALSE)*(DAY(EOMONTH(W6,0))-DAY(W6)+1))/DAY(EOMONTH(W6,0)),5))</f>
        <v>315.66399999999999</v>
      </c>
      <c r="Z6" s="44">
        <f>IF(X6=0,0,ROUND((VLOOKUP(YEAR(EDATE(X6,-2)),CPI!$A:$M,MONTH(EDATE(X6,-2))+1,FALSE)*(DAY(X6)-1)+VLOOKUP(YEAR(EDATE(X6,-3)),CPI!$A:$M,MONTH(EDATE(X6,-3))+1,FALSE)*(DAY(EOMONTH(X6,0))-DAY(X6)+1))/DAY(EOMONTH(X6,0)),5))</f>
        <v>0</v>
      </c>
      <c r="AA6" s="44">
        <f>ROUND((VLOOKUP(YEAR(EDATE(F6,-2)),CPI!$A:$M,MONTH(EDATE(F6,-2))+1,FALSE)*(DAY(F6)-1)+VLOOKUP(YEAR(EDATE(F6,-3)),CPI!$A:$M,MONTH(EDATE(F6,-3))+1,FALSE)*(DAY(EOMONTH(F6,0))-DAY(F6)+1))/DAY(EOMONTH(F6,0)),5)</f>
        <v>161.55484000000001</v>
      </c>
      <c r="AB6" s="45">
        <f>IF(G6&lt;D$1,E$1,IF(G6&gt;D$2,E$2,ROUND((VLOOKUP(YEAR(EDATE(G6,-2)),CPI!$A:$M,MONTH(EDATE(G6,-2))+1,FALSE)*(DAY(G6)-1)+VLOOKUP(YEAR(EDATE(G6,-3)),CPI!$A:$M,MONTH(EDATE(G6,-3))+1,FALSE)*(DAY(EOMONTH(G6,0))-DAY(G6)+1))/DAY(EOMONTH(G6,0)),5)))</f>
        <v>209.49645000000001</v>
      </c>
      <c r="AC6" s="60" t="str">
        <f t="shared" si="15"/>
        <v/>
      </c>
      <c r="AD6" s="46">
        <f t="shared" si="6"/>
        <v>0</v>
      </c>
      <c r="AE6" s="76">
        <f t="shared" si="16"/>
        <v>296.75000000000006</v>
      </c>
      <c r="AF6" s="71">
        <f t="shared" si="17"/>
        <v>0</v>
      </c>
      <c r="AG6" s="71">
        <f t="shared" si="18"/>
        <v>0</v>
      </c>
      <c r="AH6" s="87">
        <f t="shared" si="19"/>
        <v>0</v>
      </c>
      <c r="AI6" s="115">
        <f t="shared" si="7"/>
        <v>0</v>
      </c>
      <c r="AJ6" s="36">
        <f t="shared" si="20"/>
        <v>0</v>
      </c>
      <c r="AK6" s="37">
        <f t="shared" si="21"/>
        <v>0</v>
      </c>
      <c r="AN6" s="8">
        <v>35810</v>
      </c>
      <c r="AO6" s="4" t="b">
        <f t="shared" si="22"/>
        <v>1</v>
      </c>
    </row>
    <row r="7" spans="1:41" x14ac:dyDescent="0.3">
      <c r="A7" s="29">
        <v>3.875</v>
      </c>
      <c r="B7" s="7">
        <v>10</v>
      </c>
      <c r="C7" s="8">
        <v>39828</v>
      </c>
      <c r="D7" s="149">
        <f t="shared" si="8"/>
        <v>36175</v>
      </c>
      <c r="E7" s="150">
        <f>ROUND((VLOOKUP(YEAR(EDATE(D7,-2)),CPI!$A:$M,MONTH(EDATE(D7,-2))+1,FALSE)*(DAY(D7)-1)+VLOOKUP(YEAR(EDATE(D7,-3)),CPI!$A:$M,MONTH(EDATE(D7,-3))+1,FALSE)*(DAY(EOMONTH(D7,0))-DAY(D7)+1))/DAY(EOMONTH(D7,0)),5)</f>
        <v>164</v>
      </c>
      <c r="F7" s="30">
        <v>36175</v>
      </c>
      <c r="G7" s="31">
        <v>39828</v>
      </c>
      <c r="H7" s="32">
        <v>1000</v>
      </c>
      <c r="I7" s="33">
        <f t="shared" si="0"/>
        <v>0</v>
      </c>
      <c r="J7" s="33">
        <f t="shared" si="1"/>
        <v>0</v>
      </c>
      <c r="K7" s="33">
        <f t="shared" si="1"/>
        <v>0</v>
      </c>
      <c r="L7" s="29">
        <f t="shared" si="1"/>
        <v>0</v>
      </c>
      <c r="M7" s="33">
        <f t="shared" si="1"/>
        <v>0</v>
      </c>
      <c r="N7" s="34">
        <f t="shared" si="1"/>
        <v>0</v>
      </c>
      <c r="O7" s="34">
        <f t="shared" si="2"/>
        <v>0</v>
      </c>
      <c r="P7" s="35">
        <f t="shared" si="9"/>
        <v>0</v>
      </c>
      <c r="Q7" s="36">
        <f>ROUND(ROUND(Q$1/$E7,5)*J7,2)</f>
        <v>0</v>
      </c>
      <c r="R7" s="37">
        <f t="shared" si="11"/>
        <v>0</v>
      </c>
      <c r="S7" s="35">
        <f t="shared" si="3"/>
        <v>0</v>
      </c>
      <c r="T7" s="36">
        <f t="shared" si="4"/>
        <v>0</v>
      </c>
      <c r="U7" s="37">
        <f t="shared" si="5"/>
        <v>0</v>
      </c>
      <c r="V7" s="36">
        <f t="shared" si="12"/>
        <v>0</v>
      </c>
      <c r="W7" s="42">
        <f t="shared" si="13"/>
        <v>45658</v>
      </c>
      <c r="X7" s="43">
        <f t="shared" si="14"/>
        <v>0</v>
      </c>
      <c r="Y7" s="44">
        <f>IF(W7=0,0,ROUND((VLOOKUP(YEAR(EDATE(W7,-2)),CPI!$A:$M,MONTH(EDATE(W7,-2))+1,FALSE)*(DAY(W7)-1)+VLOOKUP(YEAR(EDATE(W7,-3)),CPI!$A:$M,MONTH(EDATE(W7,-3))+1,FALSE)*(DAY(EOMONTH(W7,0))-DAY(W7)+1))/DAY(EOMONTH(W7,0)),5))</f>
        <v>315.66399999999999</v>
      </c>
      <c r="Z7" s="44">
        <f>IF(X7=0,0,ROUND((VLOOKUP(YEAR(EDATE(X7,-2)),CPI!$A:$M,MONTH(EDATE(X7,-2))+1,FALSE)*(DAY(X7)-1)+VLOOKUP(YEAR(EDATE(X7,-3)),CPI!$A:$M,MONTH(EDATE(X7,-3))+1,FALSE)*(DAY(EOMONTH(X7,0))-DAY(X7)+1))/DAY(EOMONTH(X7,0)),5))</f>
        <v>0</v>
      </c>
      <c r="AA7" s="44">
        <f>ROUND((VLOOKUP(YEAR(EDATE(F7,-2)),CPI!$A:$M,MONTH(EDATE(F7,-2))+1,FALSE)*(DAY(F7)-1)+VLOOKUP(YEAR(EDATE(F7,-3)),CPI!$A:$M,MONTH(EDATE(F7,-3))+1,FALSE)*(DAY(EOMONTH(F7,0))-DAY(F7)+1))/DAY(EOMONTH(F7,0)),5)</f>
        <v>164</v>
      </c>
      <c r="AB7" s="45">
        <f>IF(G7&lt;D$1,E$1,IF(G7&gt;D$2,E$2,ROUND((VLOOKUP(YEAR(EDATE(G7,-2)),CPI!$A:$M,MONTH(EDATE(G7,-2))+1,FALSE)*(DAY(G7)-1)+VLOOKUP(YEAR(EDATE(G7,-3)),CPI!$A:$M,MONTH(EDATE(G7,-3))+1,FALSE)*(DAY(EOMONTH(G7,0))-DAY(G7)+1))/DAY(EOMONTH(G7,0)),5)))</f>
        <v>214.69971000000001</v>
      </c>
      <c r="AC7" s="60" t="str">
        <f t="shared" si="15"/>
        <v/>
      </c>
      <c r="AD7" s="46">
        <f t="shared" si="6"/>
        <v>0</v>
      </c>
      <c r="AE7" s="76">
        <f t="shared" si="16"/>
        <v>309.14</v>
      </c>
      <c r="AF7" s="71">
        <f t="shared" si="17"/>
        <v>0</v>
      </c>
      <c r="AG7" s="71">
        <f t="shared" si="18"/>
        <v>0</v>
      </c>
      <c r="AH7" s="87">
        <f t="shared" si="19"/>
        <v>0</v>
      </c>
      <c r="AI7" s="115">
        <f t="shared" si="7"/>
        <v>0</v>
      </c>
      <c r="AJ7" s="36">
        <f t="shared" si="20"/>
        <v>0</v>
      </c>
      <c r="AK7" s="37">
        <f t="shared" si="21"/>
        <v>0</v>
      </c>
      <c r="AN7" s="8">
        <v>36175</v>
      </c>
      <c r="AO7" s="4" t="b">
        <f t="shared" si="22"/>
        <v>1</v>
      </c>
    </row>
    <row r="8" spans="1:41" x14ac:dyDescent="0.3">
      <c r="A8" s="29">
        <v>4.25</v>
      </c>
      <c r="B8" s="7">
        <v>10</v>
      </c>
      <c r="C8" s="8">
        <v>40193</v>
      </c>
      <c r="D8" s="149">
        <f t="shared" si="8"/>
        <v>36540</v>
      </c>
      <c r="E8" s="150">
        <f>ROUND((VLOOKUP(YEAR(EDATE(D8,-2)),CPI!$A:$M,MONTH(EDATE(D8,-2))+1,FALSE)*(DAY(D8)-1)+VLOOKUP(YEAR(EDATE(D8,-3)),CPI!$A:$M,MONTH(EDATE(D8,-3))+1,FALSE)*(DAY(EOMONTH(D8,0))-DAY(D8)+1))/DAY(EOMONTH(D8,0)),5)</f>
        <v>168.24516</v>
      </c>
      <c r="F8" s="30">
        <v>36543</v>
      </c>
      <c r="G8" s="31">
        <v>40193</v>
      </c>
      <c r="H8" s="32">
        <v>1000</v>
      </c>
      <c r="I8" s="33">
        <f t="shared" si="0"/>
        <v>0</v>
      </c>
      <c r="J8" s="33">
        <f t="shared" si="1"/>
        <v>0</v>
      </c>
      <c r="K8" s="33">
        <f t="shared" si="1"/>
        <v>0</v>
      </c>
      <c r="L8" s="29">
        <f t="shared" si="1"/>
        <v>0</v>
      </c>
      <c r="M8" s="33">
        <f t="shared" si="1"/>
        <v>0</v>
      </c>
      <c r="N8" s="34">
        <f t="shared" si="1"/>
        <v>0</v>
      </c>
      <c r="O8" s="34">
        <f t="shared" si="2"/>
        <v>0</v>
      </c>
      <c r="P8" s="35">
        <f t="shared" si="9"/>
        <v>0</v>
      </c>
      <c r="Q8" s="36">
        <f t="shared" si="10"/>
        <v>0</v>
      </c>
      <c r="R8" s="37">
        <f t="shared" si="11"/>
        <v>0</v>
      </c>
      <c r="S8" s="35">
        <f t="shared" si="3"/>
        <v>0</v>
      </c>
      <c r="T8" s="36">
        <f t="shared" si="4"/>
        <v>0</v>
      </c>
      <c r="U8" s="37">
        <f t="shared" si="5"/>
        <v>0</v>
      </c>
      <c r="V8" s="36">
        <f t="shared" si="12"/>
        <v>0</v>
      </c>
      <c r="W8" s="42">
        <f t="shared" si="13"/>
        <v>45658</v>
      </c>
      <c r="X8" s="43">
        <f t="shared" si="14"/>
        <v>0</v>
      </c>
      <c r="Y8" s="44">
        <f>IF(W8=0,0,ROUND((VLOOKUP(YEAR(EDATE(W8,-2)),CPI!$A:$M,MONTH(EDATE(W8,-2))+1,FALSE)*(DAY(W8)-1)+VLOOKUP(YEAR(EDATE(W8,-3)),CPI!$A:$M,MONTH(EDATE(W8,-3))+1,FALSE)*(DAY(EOMONTH(W8,0))-DAY(W8)+1))/DAY(EOMONTH(W8,0)),5))</f>
        <v>315.66399999999999</v>
      </c>
      <c r="Z8" s="44">
        <f>IF(X8=0,0,ROUND((VLOOKUP(YEAR(EDATE(X8,-2)),CPI!$A:$M,MONTH(EDATE(X8,-2))+1,FALSE)*(DAY(X8)-1)+VLOOKUP(YEAR(EDATE(X8,-3)),CPI!$A:$M,MONTH(EDATE(X8,-3))+1,FALSE)*(DAY(EOMONTH(X8,0))-DAY(X8)+1))/DAY(EOMONTH(X8,0)),5))</f>
        <v>0</v>
      </c>
      <c r="AA8" s="44">
        <f>ROUND((VLOOKUP(YEAR(EDATE(F8,-2)),CPI!$A:$M,MONTH(EDATE(F8,-2))+1,FALSE)*(DAY(F8)-1)+VLOOKUP(YEAR(EDATE(F8,-3)),CPI!$A:$M,MONTH(EDATE(F8,-3))+1,FALSE)*(DAY(EOMONTH(F8,0))-DAY(F8)+1))/DAY(EOMONTH(F8,0)),5)</f>
        <v>168.25484</v>
      </c>
      <c r="AB8" s="45">
        <f>IF(G8&lt;D$1,E$1,IF(G8&gt;D$2,E$2,ROUND((VLOOKUP(YEAR(EDATE(G8,-2)),CPI!$A:$M,MONTH(EDATE(G8,-2))+1,FALSE)*(DAY(G8)-1)+VLOOKUP(YEAR(EDATE(G8,-3)),CPI!$A:$M,MONTH(EDATE(G8,-3))+1,FALSE)*(DAY(EOMONTH(G8,0))-DAY(G8)+1))/DAY(EOMONTH(G8,0)),5)))</f>
        <v>216.24610000000001</v>
      </c>
      <c r="AC8" s="60" t="str">
        <f t="shared" si="15"/>
        <v/>
      </c>
      <c r="AD8" s="46">
        <f t="shared" si="6"/>
        <v>0</v>
      </c>
      <c r="AE8" s="76">
        <f t="shared" si="16"/>
        <v>285.24000000000018</v>
      </c>
      <c r="AF8" s="71">
        <f t="shared" si="17"/>
        <v>0</v>
      </c>
      <c r="AG8" s="71">
        <f t="shared" si="18"/>
        <v>0</v>
      </c>
      <c r="AH8" s="87">
        <f t="shared" si="19"/>
        <v>0</v>
      </c>
      <c r="AI8" s="115">
        <f t="shared" si="7"/>
        <v>0</v>
      </c>
      <c r="AJ8" s="36">
        <f t="shared" si="20"/>
        <v>0</v>
      </c>
      <c r="AK8" s="37">
        <f t="shared" si="21"/>
        <v>0</v>
      </c>
      <c r="AN8" s="8">
        <v>36540</v>
      </c>
      <c r="AO8" s="4" t="b">
        <f t="shared" si="22"/>
        <v>1</v>
      </c>
    </row>
    <row r="9" spans="1:41" x14ac:dyDescent="0.3">
      <c r="A9" s="29">
        <v>0.875</v>
      </c>
      <c r="B9" s="7">
        <v>5.5</v>
      </c>
      <c r="C9" s="8">
        <v>40283</v>
      </c>
      <c r="D9" s="149">
        <f t="shared" si="8"/>
        <v>38275</v>
      </c>
      <c r="E9" s="150">
        <f>ROUND((VLOOKUP(YEAR(EDATE(D9,-2)),CPI!$A:$M,MONTH(EDATE(D9,-2))+1,FALSE)*(DAY(D9)-1)+VLOOKUP(YEAR(EDATE(D9,-3)),CPI!$A:$M,MONTH(EDATE(D9,-3))+1,FALSE)*(DAY(EOMONTH(D9,0))-DAY(D9)+1))/DAY(EOMONTH(D9,0)),5)</f>
        <v>189.44515999999999</v>
      </c>
      <c r="F9" s="30">
        <v>38289</v>
      </c>
      <c r="G9" s="31">
        <v>40283</v>
      </c>
      <c r="H9" s="32">
        <v>1000</v>
      </c>
      <c r="I9" s="33">
        <f t="shared" si="0"/>
        <v>0</v>
      </c>
      <c r="J9" s="33">
        <f t="shared" si="1"/>
        <v>0</v>
      </c>
      <c r="K9" s="33">
        <f t="shared" si="1"/>
        <v>0</v>
      </c>
      <c r="L9" s="29">
        <f t="shared" si="1"/>
        <v>0</v>
      </c>
      <c r="M9" s="33">
        <f t="shared" si="1"/>
        <v>0</v>
      </c>
      <c r="N9" s="34">
        <f t="shared" si="1"/>
        <v>0</v>
      </c>
      <c r="O9" s="34">
        <f t="shared" si="2"/>
        <v>0</v>
      </c>
      <c r="P9" s="35">
        <f t="shared" si="9"/>
        <v>0</v>
      </c>
      <c r="Q9" s="36">
        <f t="shared" si="10"/>
        <v>0</v>
      </c>
      <c r="R9" s="37">
        <f t="shared" si="11"/>
        <v>0</v>
      </c>
      <c r="S9" s="35">
        <f t="shared" si="3"/>
        <v>0</v>
      </c>
      <c r="T9" s="36">
        <f t="shared" si="4"/>
        <v>0</v>
      </c>
      <c r="U9" s="37">
        <f t="shared" si="5"/>
        <v>0</v>
      </c>
      <c r="V9" s="36">
        <f t="shared" si="12"/>
        <v>0</v>
      </c>
      <c r="W9" s="42">
        <f t="shared" si="13"/>
        <v>45658</v>
      </c>
      <c r="X9" s="43">
        <f t="shared" si="14"/>
        <v>0</v>
      </c>
      <c r="Y9" s="44">
        <f>IF(W9=0,0,ROUND((VLOOKUP(YEAR(EDATE(W9,-2)),CPI!$A:$M,MONTH(EDATE(W9,-2))+1,FALSE)*(DAY(W9)-1)+VLOOKUP(YEAR(EDATE(W9,-3)),CPI!$A:$M,MONTH(EDATE(W9,-3))+1,FALSE)*(DAY(EOMONTH(W9,0))-DAY(W9)+1))/DAY(EOMONTH(W9,0)),5))</f>
        <v>315.66399999999999</v>
      </c>
      <c r="Z9" s="44">
        <f>IF(X9=0,0,ROUND((VLOOKUP(YEAR(EDATE(X9,-2)),CPI!$A:$M,MONTH(EDATE(X9,-2))+1,FALSE)*(DAY(X9)-1)+VLOOKUP(YEAR(EDATE(X9,-3)),CPI!$A:$M,MONTH(EDATE(X9,-3))+1,FALSE)*(DAY(EOMONTH(X9,0))-DAY(X9)+1))/DAY(EOMONTH(X9,0)),5))</f>
        <v>0</v>
      </c>
      <c r="AA9" s="44">
        <f>ROUND((VLOOKUP(YEAR(EDATE(F9,-2)),CPI!$A:$M,MONTH(EDATE(F9,-2))+1,FALSE)*(DAY(F9)-1)+VLOOKUP(YEAR(EDATE(F9,-3)),CPI!$A:$M,MONTH(EDATE(F9,-3))+1,FALSE)*(DAY(EOMONTH(F9,0))-DAY(F9)+1))/DAY(EOMONTH(F9,0)),5)</f>
        <v>189.49032</v>
      </c>
      <c r="AB9" s="45">
        <f>IF(G9&lt;D$1,E$1,IF(G9&gt;D$2,E$2,ROUND((VLOOKUP(YEAR(EDATE(G9,-2)),CPI!$A:$M,MONTH(EDATE(G9,-2))+1,FALSE)*(DAY(G9)-1)+VLOOKUP(YEAR(EDATE(G9,-3)),CPI!$A:$M,MONTH(EDATE(G9,-3))+1,FALSE)*(DAY(EOMONTH(G9,0))-DAY(G9)+1))/DAY(EOMONTH(G9,0)),5)))</f>
        <v>216.7122</v>
      </c>
      <c r="AC9" s="60" t="str">
        <f t="shared" si="15"/>
        <v/>
      </c>
      <c r="AD9" s="46">
        <f t="shared" si="6"/>
        <v>0</v>
      </c>
      <c r="AE9" s="76">
        <f t="shared" si="16"/>
        <v>143.68999999999988</v>
      </c>
      <c r="AF9" s="71">
        <f t="shared" si="17"/>
        <v>0</v>
      </c>
      <c r="AG9" s="71">
        <f t="shared" si="18"/>
        <v>0</v>
      </c>
      <c r="AH9" s="87">
        <f t="shared" si="19"/>
        <v>0</v>
      </c>
      <c r="AI9" s="115">
        <f t="shared" si="7"/>
        <v>0</v>
      </c>
      <c r="AJ9" s="36">
        <f t="shared" si="20"/>
        <v>0</v>
      </c>
      <c r="AK9" s="37">
        <f t="shared" si="21"/>
        <v>0</v>
      </c>
      <c r="AN9" s="8">
        <v>38275</v>
      </c>
      <c r="AO9" s="4" t="b">
        <f t="shared" si="22"/>
        <v>1</v>
      </c>
    </row>
    <row r="10" spans="1:41" x14ac:dyDescent="0.3">
      <c r="A10" s="29">
        <v>3.5</v>
      </c>
      <c r="B10" s="7">
        <v>10</v>
      </c>
      <c r="C10" s="8">
        <v>40558</v>
      </c>
      <c r="D10" s="149">
        <f t="shared" si="8"/>
        <v>36906</v>
      </c>
      <c r="E10" s="150">
        <f>ROUND((VLOOKUP(YEAR(EDATE(D10,-2)),CPI!$A:$M,MONTH(EDATE(D10,-2))+1,FALSE)*(DAY(D10)-1)+VLOOKUP(YEAR(EDATE(D10,-3)),CPI!$A:$M,MONTH(EDATE(D10,-3))+1,FALSE)*(DAY(EOMONTH(D10,0))-DAY(D10)+1))/DAY(EOMONTH(D10,0)),5)</f>
        <v>174.04516000000001</v>
      </c>
      <c r="F10" s="30">
        <v>36907</v>
      </c>
      <c r="G10" s="31">
        <v>40558</v>
      </c>
      <c r="H10" s="32">
        <v>1000</v>
      </c>
      <c r="I10" s="33">
        <f t="shared" si="0"/>
        <v>0</v>
      </c>
      <c r="J10" s="33">
        <f t="shared" si="1"/>
        <v>0</v>
      </c>
      <c r="K10" s="33">
        <f t="shared" si="1"/>
        <v>0</v>
      </c>
      <c r="L10" s="29">
        <f t="shared" si="1"/>
        <v>0</v>
      </c>
      <c r="M10" s="33">
        <f t="shared" si="1"/>
        <v>0</v>
      </c>
      <c r="N10" s="34">
        <f t="shared" si="1"/>
        <v>0</v>
      </c>
      <c r="O10" s="34">
        <f t="shared" si="2"/>
        <v>0</v>
      </c>
      <c r="P10" s="35">
        <f t="shared" si="9"/>
        <v>0</v>
      </c>
      <c r="Q10" s="36">
        <f t="shared" si="10"/>
        <v>0</v>
      </c>
      <c r="R10" s="37">
        <f t="shared" si="11"/>
        <v>0</v>
      </c>
      <c r="S10" s="35">
        <f t="shared" si="3"/>
        <v>0</v>
      </c>
      <c r="T10" s="36">
        <f t="shared" si="4"/>
        <v>0</v>
      </c>
      <c r="U10" s="37">
        <f t="shared" si="5"/>
        <v>0</v>
      </c>
      <c r="V10" s="36">
        <f t="shared" si="12"/>
        <v>0</v>
      </c>
      <c r="W10" s="42">
        <f t="shared" si="13"/>
        <v>45658</v>
      </c>
      <c r="X10" s="43">
        <f t="shared" si="14"/>
        <v>0</v>
      </c>
      <c r="Y10" s="44">
        <f>IF(W10=0,0,ROUND((VLOOKUP(YEAR(EDATE(W10,-2)),CPI!$A:$M,MONTH(EDATE(W10,-2))+1,FALSE)*(DAY(W10)-1)+VLOOKUP(YEAR(EDATE(W10,-3)),CPI!$A:$M,MONTH(EDATE(W10,-3))+1,FALSE)*(DAY(EOMONTH(W10,0))-DAY(W10)+1))/DAY(EOMONTH(W10,0)),5))</f>
        <v>315.66399999999999</v>
      </c>
      <c r="Z10" s="44">
        <f>IF(X10=0,0,ROUND((VLOOKUP(YEAR(EDATE(X10,-2)),CPI!$A:$M,MONTH(EDATE(X10,-2))+1,FALSE)*(DAY(X10)-1)+VLOOKUP(YEAR(EDATE(X10,-3)),CPI!$A:$M,MONTH(EDATE(X10,-3))+1,FALSE)*(DAY(EOMONTH(X10,0))-DAY(X10)+1))/DAY(EOMONTH(X10,0)),5))</f>
        <v>0</v>
      </c>
      <c r="AA10" s="44">
        <f>ROUND((VLOOKUP(YEAR(EDATE(F10,-2)),CPI!$A:$M,MONTH(EDATE(F10,-2))+1,FALSE)*(DAY(F10)-1)+VLOOKUP(YEAR(EDATE(F10,-3)),CPI!$A:$M,MONTH(EDATE(F10,-3))+1,FALSE)*(DAY(EOMONTH(F10,0))-DAY(F10)+1))/DAY(EOMONTH(F10,0)),5)</f>
        <v>174.04839000000001</v>
      </c>
      <c r="AB10" s="45">
        <f>IF(G10&lt;D$1,E$1,IF(G10&gt;D$2,E$2,ROUND((VLOOKUP(YEAR(EDATE(G10,-2)),CPI!$A:$M,MONTH(EDATE(G10,-2))+1,FALSE)*(DAY(G10)-1)+VLOOKUP(YEAR(EDATE(G10,-3)),CPI!$A:$M,MONTH(EDATE(G10,-3))+1,FALSE)*(DAY(EOMONTH(G10,0))-DAY(G10)+1))/DAY(EOMONTH(G10,0)),5)))</f>
        <v>218.75255000000001</v>
      </c>
      <c r="AC10" s="60" t="str">
        <f t="shared" si="15"/>
        <v/>
      </c>
      <c r="AD10" s="46">
        <f t="shared" si="6"/>
        <v>0</v>
      </c>
      <c r="AE10" s="76">
        <f t="shared" si="16"/>
        <v>256.85000000000002</v>
      </c>
      <c r="AF10" s="71">
        <f t="shared" si="17"/>
        <v>0</v>
      </c>
      <c r="AG10" s="71">
        <f t="shared" si="18"/>
        <v>0</v>
      </c>
      <c r="AH10" s="87">
        <f t="shared" si="19"/>
        <v>0</v>
      </c>
      <c r="AI10" s="115">
        <f t="shared" si="7"/>
        <v>0</v>
      </c>
      <c r="AJ10" s="36">
        <f t="shared" si="20"/>
        <v>0</v>
      </c>
      <c r="AK10" s="37">
        <f t="shared" si="21"/>
        <v>0</v>
      </c>
      <c r="AN10" s="8">
        <v>36906</v>
      </c>
      <c r="AO10" s="4" t="b">
        <f t="shared" si="22"/>
        <v>1</v>
      </c>
    </row>
    <row r="11" spans="1:41" x14ac:dyDescent="0.3">
      <c r="A11" s="29">
        <v>2.375</v>
      </c>
      <c r="B11" s="7">
        <v>5</v>
      </c>
      <c r="C11" s="8">
        <v>40648</v>
      </c>
      <c r="D11" s="149">
        <f t="shared" si="8"/>
        <v>38822</v>
      </c>
      <c r="E11" s="150">
        <f>ROUND((VLOOKUP(YEAR(EDATE(D11,-2)),CPI!$A:$M,MONTH(EDATE(D11,-2))+1,FALSE)*(DAY(D11)-1)+VLOOKUP(YEAR(EDATE(D11,-3)),CPI!$A:$M,MONTH(EDATE(D11,-3))+1,FALSE)*(DAY(EOMONTH(D11,0))-DAY(D11)+1))/DAY(EOMONTH(D11,0)),5)</f>
        <v>198.48667</v>
      </c>
      <c r="F11" s="30">
        <v>38835</v>
      </c>
      <c r="G11" s="31">
        <v>40648</v>
      </c>
      <c r="H11" s="32">
        <v>1000</v>
      </c>
      <c r="I11" s="33">
        <f t="shared" si="0"/>
        <v>0</v>
      </c>
      <c r="J11" s="33">
        <f t="shared" si="1"/>
        <v>0</v>
      </c>
      <c r="K11" s="33">
        <f t="shared" si="1"/>
        <v>0</v>
      </c>
      <c r="L11" s="29">
        <f t="shared" si="1"/>
        <v>0</v>
      </c>
      <c r="M11" s="33">
        <f t="shared" si="1"/>
        <v>0</v>
      </c>
      <c r="N11" s="34">
        <f t="shared" si="1"/>
        <v>0</v>
      </c>
      <c r="O11" s="34">
        <f t="shared" si="2"/>
        <v>0</v>
      </c>
      <c r="P11" s="35">
        <f t="shared" si="9"/>
        <v>0</v>
      </c>
      <c r="Q11" s="36">
        <f t="shared" si="10"/>
        <v>0</v>
      </c>
      <c r="R11" s="37">
        <f t="shared" si="11"/>
        <v>0</v>
      </c>
      <c r="S11" s="35">
        <f t="shared" si="3"/>
        <v>0</v>
      </c>
      <c r="T11" s="36">
        <f t="shared" si="4"/>
        <v>0</v>
      </c>
      <c r="U11" s="37">
        <f t="shared" si="5"/>
        <v>0</v>
      </c>
      <c r="V11" s="36">
        <f t="shared" si="12"/>
        <v>0</v>
      </c>
      <c r="W11" s="42">
        <f t="shared" si="13"/>
        <v>45658</v>
      </c>
      <c r="X11" s="43">
        <f t="shared" si="14"/>
        <v>0</v>
      </c>
      <c r="Y11" s="44">
        <f>IF(W11=0,0,ROUND((VLOOKUP(YEAR(EDATE(W11,-2)),CPI!$A:$M,MONTH(EDATE(W11,-2))+1,FALSE)*(DAY(W11)-1)+VLOOKUP(YEAR(EDATE(W11,-3)),CPI!$A:$M,MONTH(EDATE(W11,-3))+1,FALSE)*(DAY(EOMONTH(W11,0))-DAY(W11)+1))/DAY(EOMONTH(W11,0)),5))</f>
        <v>315.66399999999999</v>
      </c>
      <c r="Z11" s="44">
        <f>IF(X11=0,0,ROUND((VLOOKUP(YEAR(EDATE(X11,-2)),CPI!$A:$M,MONTH(EDATE(X11,-2))+1,FALSE)*(DAY(X11)-1)+VLOOKUP(YEAR(EDATE(X11,-3)),CPI!$A:$M,MONTH(EDATE(X11,-3))+1,FALSE)*(DAY(EOMONTH(X11,0))-DAY(X11)+1))/DAY(EOMONTH(X11,0)),5))</f>
        <v>0</v>
      </c>
      <c r="AA11" s="44">
        <f>ROUND((VLOOKUP(YEAR(EDATE(F11,-2)),CPI!$A:$M,MONTH(EDATE(F11,-2))+1,FALSE)*(DAY(F11)-1)+VLOOKUP(YEAR(EDATE(F11,-3)),CPI!$A:$M,MONTH(EDATE(F11,-3))+1,FALSE)*(DAY(EOMONTH(F11,0))-DAY(F11)+1))/DAY(EOMONTH(F11,0)),5)</f>
        <v>198.66</v>
      </c>
      <c r="AB11" s="45">
        <f>IF(G11&lt;D$1,E$1,IF(G11&gt;D$2,E$2,ROUND((VLOOKUP(YEAR(EDATE(G11,-2)),CPI!$A:$M,MONTH(EDATE(G11,-2))+1,FALSE)*(DAY(G11)-1)+VLOOKUP(YEAR(EDATE(G11,-3)),CPI!$A:$M,MONTH(EDATE(G11,-3))+1,FALSE)*(DAY(EOMONTH(G11,0))-DAY(G11)+1))/DAY(EOMONTH(G11,0)),5)))</f>
        <v>220.72980000000001</v>
      </c>
      <c r="AC11" s="60" t="str">
        <f t="shared" si="15"/>
        <v/>
      </c>
      <c r="AD11" s="46">
        <f t="shared" si="6"/>
        <v>0</v>
      </c>
      <c r="AE11" s="76">
        <f t="shared" si="16"/>
        <v>111.19000000000013</v>
      </c>
      <c r="AF11" s="71">
        <f t="shared" si="17"/>
        <v>0</v>
      </c>
      <c r="AG11" s="71">
        <f t="shared" si="18"/>
        <v>0</v>
      </c>
      <c r="AH11" s="87">
        <f t="shared" si="19"/>
        <v>0</v>
      </c>
      <c r="AI11" s="115">
        <f t="shared" si="7"/>
        <v>0</v>
      </c>
      <c r="AJ11" s="36">
        <f t="shared" si="20"/>
        <v>0</v>
      </c>
      <c r="AK11" s="37">
        <f t="shared" si="21"/>
        <v>0</v>
      </c>
      <c r="AN11" s="8">
        <v>38822</v>
      </c>
      <c r="AO11" s="4" t="b">
        <f t="shared" si="22"/>
        <v>1</v>
      </c>
    </row>
    <row r="12" spans="1:41" x14ac:dyDescent="0.3">
      <c r="A12" s="29">
        <v>3.375</v>
      </c>
      <c r="B12" s="7">
        <v>10</v>
      </c>
      <c r="C12" s="8">
        <v>40923</v>
      </c>
      <c r="D12" s="149">
        <f t="shared" si="8"/>
        <v>37271</v>
      </c>
      <c r="E12" s="150">
        <f>ROUND((VLOOKUP(YEAR(EDATE(D12,-2)),CPI!$A:$M,MONTH(EDATE(D12,-2))+1,FALSE)*(DAY(D12)-1)+VLOOKUP(YEAR(EDATE(D12,-3)),CPI!$A:$M,MONTH(EDATE(D12,-3))+1,FALSE)*(DAY(EOMONTH(D12,0))-DAY(D12)+1))/DAY(EOMONTH(D12,0)),5)</f>
        <v>177.56451999999999</v>
      </c>
      <c r="F12" s="30">
        <v>37271</v>
      </c>
      <c r="G12" s="31">
        <v>40923</v>
      </c>
      <c r="H12" s="32">
        <v>1000</v>
      </c>
      <c r="I12" s="33">
        <f t="shared" si="0"/>
        <v>0</v>
      </c>
      <c r="J12" s="33">
        <f t="shared" si="1"/>
        <v>0</v>
      </c>
      <c r="K12" s="33">
        <f t="shared" si="1"/>
        <v>0</v>
      </c>
      <c r="L12" s="29">
        <f t="shared" si="1"/>
        <v>0</v>
      </c>
      <c r="M12" s="33">
        <f t="shared" si="1"/>
        <v>0</v>
      </c>
      <c r="N12" s="34">
        <f t="shared" si="1"/>
        <v>0</v>
      </c>
      <c r="O12" s="34">
        <f t="shared" si="2"/>
        <v>0</v>
      </c>
      <c r="P12" s="35">
        <f t="shared" si="9"/>
        <v>0</v>
      </c>
      <c r="Q12" s="36">
        <f t="shared" si="10"/>
        <v>0</v>
      </c>
      <c r="R12" s="37">
        <f t="shared" si="11"/>
        <v>0</v>
      </c>
      <c r="S12" s="35">
        <f t="shared" si="3"/>
        <v>0</v>
      </c>
      <c r="T12" s="36">
        <f t="shared" si="4"/>
        <v>0</v>
      </c>
      <c r="U12" s="37">
        <f t="shared" si="5"/>
        <v>0</v>
      </c>
      <c r="V12" s="36">
        <f t="shared" si="12"/>
        <v>0</v>
      </c>
      <c r="W12" s="42">
        <f t="shared" si="13"/>
        <v>45658</v>
      </c>
      <c r="X12" s="43">
        <f t="shared" si="14"/>
        <v>0</v>
      </c>
      <c r="Y12" s="44">
        <f>IF(W12=0,0,ROUND((VLOOKUP(YEAR(EDATE(W12,-2)),CPI!$A:$M,MONTH(EDATE(W12,-2))+1,FALSE)*(DAY(W12)-1)+VLOOKUP(YEAR(EDATE(W12,-3)),CPI!$A:$M,MONTH(EDATE(W12,-3))+1,FALSE)*(DAY(EOMONTH(W12,0))-DAY(W12)+1))/DAY(EOMONTH(W12,0)),5))</f>
        <v>315.66399999999999</v>
      </c>
      <c r="Z12" s="44">
        <f>IF(X12=0,0,ROUND((VLOOKUP(YEAR(EDATE(X12,-2)),CPI!$A:$M,MONTH(EDATE(X12,-2))+1,FALSE)*(DAY(X12)-1)+VLOOKUP(YEAR(EDATE(X12,-3)),CPI!$A:$M,MONTH(EDATE(X12,-3))+1,FALSE)*(DAY(EOMONTH(X12,0))-DAY(X12)+1))/DAY(EOMONTH(X12,0)),5))</f>
        <v>0</v>
      </c>
      <c r="AA12" s="44">
        <f>ROUND((VLOOKUP(YEAR(EDATE(F12,-2)),CPI!$A:$M,MONTH(EDATE(F12,-2))+1,FALSE)*(DAY(F12)-1)+VLOOKUP(YEAR(EDATE(F12,-3)),CPI!$A:$M,MONTH(EDATE(F12,-3))+1,FALSE)*(DAY(EOMONTH(F12,0))-DAY(F12)+1))/DAY(EOMONTH(F12,0)),5)</f>
        <v>177.56451999999999</v>
      </c>
      <c r="AB12" s="45">
        <f>IF(G12&lt;D$1,E$1,IF(G12&gt;D$2,E$2,ROUND((VLOOKUP(YEAR(EDATE(G12,-2)),CPI!$A:$M,MONTH(EDATE(G12,-2))+1,FALSE)*(DAY(G12)-1)+VLOOKUP(YEAR(EDATE(G12,-3)),CPI!$A:$M,MONTH(EDATE(G12,-3))+1,FALSE)*(DAY(EOMONTH(G12,0))-DAY(G12)+1))/DAY(EOMONTH(G12,0)),5)))</f>
        <v>226.33474000000001</v>
      </c>
      <c r="AC12" s="60" t="str">
        <f t="shared" si="15"/>
        <v/>
      </c>
      <c r="AD12" s="46">
        <f t="shared" si="6"/>
        <v>0</v>
      </c>
      <c r="AE12" s="76">
        <f t="shared" si="16"/>
        <v>274.65999999999991</v>
      </c>
      <c r="AF12" s="71">
        <f t="shared" si="17"/>
        <v>0</v>
      </c>
      <c r="AG12" s="71">
        <f t="shared" si="18"/>
        <v>0</v>
      </c>
      <c r="AH12" s="87">
        <f t="shared" si="19"/>
        <v>0</v>
      </c>
      <c r="AI12" s="115">
        <f t="shared" si="7"/>
        <v>0</v>
      </c>
      <c r="AJ12" s="36">
        <f t="shared" si="20"/>
        <v>0</v>
      </c>
      <c r="AK12" s="37">
        <f t="shared" si="21"/>
        <v>0</v>
      </c>
      <c r="AN12" s="8">
        <v>37271</v>
      </c>
      <c r="AO12" s="4" t="b">
        <f t="shared" si="22"/>
        <v>1</v>
      </c>
    </row>
    <row r="13" spans="1:41" x14ac:dyDescent="0.3">
      <c r="A13" s="29">
        <v>2</v>
      </c>
      <c r="B13" s="7">
        <v>5</v>
      </c>
      <c r="C13" s="8">
        <v>41014</v>
      </c>
      <c r="D13" s="149">
        <f t="shared" si="8"/>
        <v>39187</v>
      </c>
      <c r="E13" s="150">
        <f>ROUND((VLOOKUP(YEAR(EDATE(D13,-2)),CPI!$A:$M,MONTH(EDATE(D13,-2))+1,FALSE)*(DAY(D13)-1)+VLOOKUP(YEAR(EDATE(D13,-3)),CPI!$A:$M,MONTH(EDATE(D13,-3))+1,FALSE)*(DAY(EOMONTH(D13,0))-DAY(D13)+1))/DAY(EOMONTH(D13,0)),5)</f>
        <v>202.92140000000001</v>
      </c>
      <c r="F13" s="30">
        <v>39202</v>
      </c>
      <c r="G13" s="31">
        <v>41014</v>
      </c>
      <c r="H13" s="32">
        <v>1000</v>
      </c>
      <c r="I13" s="33">
        <f t="shared" si="0"/>
        <v>0</v>
      </c>
      <c r="J13" s="33">
        <f t="shared" si="1"/>
        <v>0</v>
      </c>
      <c r="K13" s="33">
        <f t="shared" si="1"/>
        <v>0</v>
      </c>
      <c r="L13" s="29">
        <f t="shared" si="1"/>
        <v>0</v>
      </c>
      <c r="M13" s="33">
        <f t="shared" si="1"/>
        <v>0</v>
      </c>
      <c r="N13" s="34">
        <f t="shared" si="1"/>
        <v>0</v>
      </c>
      <c r="O13" s="34">
        <f t="shared" si="2"/>
        <v>0</v>
      </c>
      <c r="P13" s="35">
        <f t="shared" si="9"/>
        <v>0</v>
      </c>
      <c r="Q13" s="36">
        <f t="shared" si="10"/>
        <v>0</v>
      </c>
      <c r="R13" s="37">
        <f t="shared" si="11"/>
        <v>0</v>
      </c>
      <c r="S13" s="35">
        <f t="shared" si="3"/>
        <v>0</v>
      </c>
      <c r="T13" s="36">
        <f t="shared" si="4"/>
        <v>0</v>
      </c>
      <c r="U13" s="37">
        <f t="shared" si="5"/>
        <v>0</v>
      </c>
      <c r="V13" s="36">
        <f t="shared" si="12"/>
        <v>0</v>
      </c>
      <c r="W13" s="42">
        <f t="shared" si="13"/>
        <v>45658</v>
      </c>
      <c r="X13" s="43">
        <f t="shared" si="14"/>
        <v>0</v>
      </c>
      <c r="Y13" s="44">
        <f>IF(W13=0,0,ROUND((VLOOKUP(YEAR(EDATE(W13,-2)),CPI!$A:$M,MONTH(EDATE(W13,-2))+1,FALSE)*(DAY(W13)-1)+VLOOKUP(YEAR(EDATE(W13,-3)),CPI!$A:$M,MONTH(EDATE(W13,-3))+1,FALSE)*(DAY(EOMONTH(W13,0))-DAY(W13)+1))/DAY(EOMONTH(W13,0)),5))</f>
        <v>315.66399999999999</v>
      </c>
      <c r="Z13" s="44">
        <f>IF(X13=0,0,ROUND((VLOOKUP(YEAR(EDATE(X13,-2)),CPI!$A:$M,MONTH(EDATE(X13,-2))+1,FALSE)*(DAY(X13)-1)+VLOOKUP(YEAR(EDATE(X13,-3)),CPI!$A:$M,MONTH(EDATE(X13,-3))+1,FALSE)*(DAY(EOMONTH(X13,0))-DAY(X13)+1))/DAY(EOMONTH(X13,0)),5))</f>
        <v>0</v>
      </c>
      <c r="AA13" s="44">
        <f>ROUND((VLOOKUP(YEAR(EDATE(F13,-2)),CPI!$A:$M,MONTH(EDATE(F13,-2))+1,FALSE)*(DAY(F13)-1)+VLOOKUP(YEAR(EDATE(F13,-3)),CPI!$A:$M,MONTH(EDATE(F13,-3))+1,FALSE)*(DAY(EOMONTH(F13,0))-DAY(F13)+1))/DAY(EOMONTH(F13,0)),5)</f>
        <v>203.46289999999999</v>
      </c>
      <c r="AB13" s="45">
        <f>IF(G13&lt;D$1,E$1,IF(G13&gt;D$2,E$2,ROUND((VLOOKUP(YEAR(EDATE(G13,-2)),CPI!$A:$M,MONTH(EDATE(G13,-2))+1,FALSE)*(DAY(G13)-1)+VLOOKUP(YEAR(EDATE(G13,-3)),CPI!$A:$M,MONTH(EDATE(G13,-3))+1,FALSE)*(DAY(EOMONTH(G13,0))-DAY(G13)+1))/DAY(EOMONTH(G13,0)),5)))</f>
        <v>227.13073</v>
      </c>
      <c r="AC13" s="60" t="str">
        <f t="shared" si="15"/>
        <v/>
      </c>
      <c r="AD13" s="46">
        <f t="shared" si="6"/>
        <v>0</v>
      </c>
      <c r="AE13" s="76">
        <f t="shared" si="16"/>
        <v>116.63000000000001</v>
      </c>
      <c r="AF13" s="71">
        <f t="shared" si="17"/>
        <v>0</v>
      </c>
      <c r="AG13" s="71">
        <f t="shared" si="18"/>
        <v>0</v>
      </c>
      <c r="AH13" s="87">
        <f t="shared" si="19"/>
        <v>0</v>
      </c>
      <c r="AI13" s="115">
        <f t="shared" si="7"/>
        <v>0</v>
      </c>
      <c r="AJ13" s="36">
        <f t="shared" si="20"/>
        <v>0</v>
      </c>
      <c r="AK13" s="37">
        <f t="shared" si="21"/>
        <v>0</v>
      </c>
      <c r="AN13" s="8">
        <v>39187</v>
      </c>
      <c r="AO13" s="4" t="b">
        <f t="shared" si="22"/>
        <v>1</v>
      </c>
    </row>
    <row r="14" spans="1:41" x14ac:dyDescent="0.3">
      <c r="A14" s="29">
        <v>3</v>
      </c>
      <c r="B14" s="7">
        <v>10</v>
      </c>
      <c r="C14" s="8">
        <v>41105</v>
      </c>
      <c r="D14" s="149">
        <f t="shared" si="8"/>
        <v>37452</v>
      </c>
      <c r="E14" s="150">
        <f>ROUND((VLOOKUP(YEAR(EDATE(D14,-2)),CPI!$A:$M,MONTH(EDATE(D14,-2))+1,FALSE)*(DAY(D14)-1)+VLOOKUP(YEAR(EDATE(D14,-3)),CPI!$A:$M,MONTH(EDATE(D14,-3))+1,FALSE)*(DAY(EOMONTH(D14,0))-DAY(D14)+1))/DAY(EOMONTH(D14,0)),5)</f>
        <v>179.8</v>
      </c>
      <c r="F14" s="30">
        <v>37452</v>
      </c>
      <c r="G14" s="31">
        <v>41105</v>
      </c>
      <c r="H14" s="32">
        <v>1000</v>
      </c>
      <c r="I14" s="33">
        <f t="shared" si="0"/>
        <v>0</v>
      </c>
      <c r="J14" s="33">
        <f t="shared" si="1"/>
        <v>0</v>
      </c>
      <c r="K14" s="33">
        <f t="shared" si="1"/>
        <v>0</v>
      </c>
      <c r="L14" s="29">
        <f t="shared" si="1"/>
        <v>0</v>
      </c>
      <c r="M14" s="33">
        <f t="shared" si="1"/>
        <v>0</v>
      </c>
      <c r="N14" s="34">
        <f t="shared" si="1"/>
        <v>0</v>
      </c>
      <c r="O14" s="34">
        <f t="shared" si="2"/>
        <v>0</v>
      </c>
      <c r="P14" s="35">
        <f t="shared" si="9"/>
        <v>0</v>
      </c>
      <c r="Q14" s="36">
        <f t="shared" si="10"/>
        <v>0</v>
      </c>
      <c r="R14" s="37">
        <f t="shared" si="11"/>
        <v>0</v>
      </c>
      <c r="S14" s="35">
        <f t="shared" si="3"/>
        <v>0</v>
      </c>
      <c r="T14" s="36">
        <f t="shared" si="4"/>
        <v>0</v>
      </c>
      <c r="U14" s="37">
        <f t="shared" si="5"/>
        <v>0</v>
      </c>
      <c r="V14" s="36">
        <f t="shared" si="12"/>
        <v>0</v>
      </c>
      <c r="W14" s="42">
        <f t="shared" si="13"/>
        <v>45658</v>
      </c>
      <c r="X14" s="43">
        <f t="shared" si="14"/>
        <v>0</v>
      </c>
      <c r="Y14" s="44">
        <f>IF(W14=0,0,ROUND((VLOOKUP(YEAR(EDATE(W14,-2)),CPI!$A:$M,MONTH(EDATE(W14,-2))+1,FALSE)*(DAY(W14)-1)+VLOOKUP(YEAR(EDATE(W14,-3)),CPI!$A:$M,MONTH(EDATE(W14,-3))+1,FALSE)*(DAY(EOMONTH(W14,0))-DAY(W14)+1))/DAY(EOMONTH(W14,0)),5))</f>
        <v>315.66399999999999</v>
      </c>
      <c r="Z14" s="44">
        <f>IF(X14=0,0,ROUND((VLOOKUP(YEAR(EDATE(X14,-2)),CPI!$A:$M,MONTH(EDATE(X14,-2))+1,FALSE)*(DAY(X14)-1)+VLOOKUP(YEAR(EDATE(X14,-3)),CPI!$A:$M,MONTH(EDATE(X14,-3))+1,FALSE)*(DAY(EOMONTH(X14,0))-DAY(X14)+1))/DAY(EOMONTH(X14,0)),5))</f>
        <v>0</v>
      </c>
      <c r="AA14" s="44">
        <f>ROUND((VLOOKUP(YEAR(EDATE(F14,-2)),CPI!$A:$M,MONTH(EDATE(F14,-2))+1,FALSE)*(DAY(F14)-1)+VLOOKUP(YEAR(EDATE(F14,-3)),CPI!$A:$M,MONTH(EDATE(F14,-3))+1,FALSE)*(DAY(EOMONTH(F14,0))-DAY(F14)+1))/DAY(EOMONTH(F14,0)),5)</f>
        <v>179.8</v>
      </c>
      <c r="AB14" s="45">
        <f>IF(G14&lt;D$1,E$1,IF(G14&gt;D$2,E$2,ROUND((VLOOKUP(YEAR(EDATE(G14,-2)),CPI!$A:$M,MONTH(EDATE(G14,-2))+1,FALSE)*(DAY(G14)-1)+VLOOKUP(YEAR(EDATE(G14,-3)),CPI!$A:$M,MONTH(EDATE(G14,-3))+1,FALSE)*(DAY(EOMONTH(G14,0))-DAY(G14)+1))/DAY(EOMONTH(G14,0)),5)))</f>
        <v>229.96306000000001</v>
      </c>
      <c r="AC14" s="60" t="str">
        <f t="shared" si="15"/>
        <v/>
      </c>
      <c r="AD14" s="46">
        <f t="shared" si="6"/>
        <v>0</v>
      </c>
      <c r="AE14" s="76">
        <f t="shared" si="16"/>
        <v>278.99000000000007</v>
      </c>
      <c r="AF14" s="71">
        <f t="shared" si="17"/>
        <v>0</v>
      </c>
      <c r="AG14" s="71">
        <f t="shared" si="18"/>
        <v>0</v>
      </c>
      <c r="AH14" s="87">
        <f t="shared" si="19"/>
        <v>0</v>
      </c>
      <c r="AI14" s="115">
        <f t="shared" si="7"/>
        <v>0</v>
      </c>
      <c r="AJ14" s="36">
        <f t="shared" si="20"/>
        <v>0</v>
      </c>
      <c r="AK14" s="37">
        <f t="shared" si="21"/>
        <v>0</v>
      </c>
      <c r="AN14" s="8">
        <v>37452</v>
      </c>
      <c r="AO14" s="4" t="b">
        <f t="shared" si="22"/>
        <v>1</v>
      </c>
    </row>
    <row r="15" spans="1:41" x14ac:dyDescent="0.3">
      <c r="A15" s="29">
        <v>0.625</v>
      </c>
      <c r="B15" s="7">
        <v>5</v>
      </c>
      <c r="C15" s="8">
        <v>41379</v>
      </c>
      <c r="D15" s="149">
        <f t="shared" si="8"/>
        <v>39553</v>
      </c>
      <c r="E15" s="150">
        <f>ROUND((VLOOKUP(YEAR(EDATE(D15,-2)),CPI!$A:$M,MONTH(EDATE(D15,-2))+1,FALSE)*(DAY(D15)-1)+VLOOKUP(YEAR(EDATE(D15,-3)),CPI!$A:$M,MONTH(EDATE(D15,-3))+1,FALSE)*(DAY(EOMONTH(D15,0))-DAY(D15)+1))/DAY(EOMONTH(D15,0)),5)</f>
        <v>211.36607000000001</v>
      </c>
      <c r="F15" s="30">
        <v>39568</v>
      </c>
      <c r="G15" s="31">
        <v>41379</v>
      </c>
      <c r="H15" s="32">
        <v>1000</v>
      </c>
      <c r="I15" s="33">
        <f t="shared" si="0"/>
        <v>0</v>
      </c>
      <c r="J15" s="33">
        <f t="shared" si="1"/>
        <v>0</v>
      </c>
      <c r="K15" s="33">
        <f t="shared" si="1"/>
        <v>0</v>
      </c>
      <c r="L15" s="29">
        <f t="shared" si="1"/>
        <v>0</v>
      </c>
      <c r="M15" s="33">
        <f t="shared" si="1"/>
        <v>0</v>
      </c>
      <c r="N15" s="34">
        <f t="shared" si="1"/>
        <v>0</v>
      </c>
      <c r="O15" s="34">
        <f t="shared" si="2"/>
        <v>0</v>
      </c>
      <c r="P15" s="35">
        <f t="shared" si="9"/>
        <v>0</v>
      </c>
      <c r="Q15" s="36">
        <f t="shared" si="10"/>
        <v>0</v>
      </c>
      <c r="R15" s="37">
        <f t="shared" si="11"/>
        <v>0</v>
      </c>
      <c r="S15" s="35">
        <f t="shared" si="3"/>
        <v>0</v>
      </c>
      <c r="T15" s="36">
        <f t="shared" si="4"/>
        <v>0</v>
      </c>
      <c r="U15" s="37">
        <f t="shared" si="5"/>
        <v>0</v>
      </c>
      <c r="V15" s="36">
        <f t="shared" si="12"/>
        <v>0</v>
      </c>
      <c r="W15" s="42">
        <f t="shared" si="13"/>
        <v>45658</v>
      </c>
      <c r="X15" s="43">
        <f t="shared" si="14"/>
        <v>0</v>
      </c>
      <c r="Y15" s="44">
        <f>IF(W15=0,0,ROUND((VLOOKUP(YEAR(EDATE(W15,-2)),CPI!$A:$M,MONTH(EDATE(W15,-2))+1,FALSE)*(DAY(W15)-1)+VLOOKUP(YEAR(EDATE(W15,-3)),CPI!$A:$M,MONTH(EDATE(W15,-3))+1,FALSE)*(DAY(EOMONTH(W15,0))-DAY(W15)+1))/DAY(EOMONTH(W15,0)),5))</f>
        <v>315.66399999999999</v>
      </c>
      <c r="Z15" s="44">
        <f>IF(X15=0,0,ROUND((VLOOKUP(YEAR(EDATE(X15,-2)),CPI!$A:$M,MONTH(EDATE(X15,-2))+1,FALSE)*(DAY(X15)-1)+VLOOKUP(YEAR(EDATE(X15,-3)),CPI!$A:$M,MONTH(EDATE(X15,-3))+1,FALSE)*(DAY(EOMONTH(X15,0))-DAY(X15)+1))/DAY(EOMONTH(X15,0)),5))</f>
        <v>0</v>
      </c>
      <c r="AA15" s="44">
        <f>ROUND((VLOOKUP(YEAR(EDATE(F15,-2)),CPI!$A:$M,MONTH(EDATE(F15,-2))+1,FALSE)*(DAY(F15)-1)+VLOOKUP(YEAR(EDATE(F15,-3)),CPI!$A:$M,MONTH(EDATE(F15,-3))+1,FALSE)*(DAY(EOMONTH(F15,0))-DAY(F15)+1))/DAY(EOMONTH(F15,0)),5)</f>
        <v>211.67257000000001</v>
      </c>
      <c r="AB15" s="45">
        <f>IF(G15&lt;D$1,E$1,IF(G15&gt;D$2,E$2,ROUND((VLOOKUP(YEAR(EDATE(G15,-2)),CPI!$A:$M,MONTH(EDATE(G15,-2))+1,FALSE)*(DAY(G15)-1)+VLOOKUP(YEAR(EDATE(G15,-3)),CPI!$A:$M,MONTH(EDATE(G15,-3))+1,FALSE)*(DAY(EOMONTH(G15,0))-DAY(G15)+1))/DAY(EOMONTH(G15,0)),5)))</f>
        <v>231.16013000000001</v>
      </c>
      <c r="AC15" s="60" t="str">
        <f t="shared" si="15"/>
        <v/>
      </c>
      <c r="AD15" s="46">
        <f t="shared" si="6"/>
        <v>0</v>
      </c>
      <c r="AE15" s="76">
        <f t="shared" si="16"/>
        <v>92.20000000000006</v>
      </c>
      <c r="AF15" s="71">
        <f t="shared" si="17"/>
        <v>0</v>
      </c>
      <c r="AG15" s="71">
        <f t="shared" si="18"/>
        <v>0</v>
      </c>
      <c r="AH15" s="87">
        <f t="shared" si="19"/>
        <v>0</v>
      </c>
      <c r="AI15" s="115">
        <f t="shared" si="7"/>
        <v>0</v>
      </c>
      <c r="AJ15" s="36">
        <f t="shared" si="20"/>
        <v>0</v>
      </c>
      <c r="AK15" s="37">
        <f t="shared" si="21"/>
        <v>0</v>
      </c>
      <c r="AN15" s="8">
        <v>39553</v>
      </c>
      <c r="AO15" s="4" t="b">
        <f t="shared" si="22"/>
        <v>1</v>
      </c>
    </row>
    <row r="16" spans="1:41" x14ac:dyDescent="0.3">
      <c r="A16" s="29">
        <v>1.875</v>
      </c>
      <c r="B16" s="7">
        <v>10</v>
      </c>
      <c r="C16" s="8">
        <v>41470</v>
      </c>
      <c r="D16" s="149">
        <f t="shared" si="8"/>
        <v>37817</v>
      </c>
      <c r="E16" s="150">
        <f>ROUND((VLOOKUP(YEAR(EDATE(D16,-2)),CPI!$A:$M,MONTH(EDATE(D16,-2))+1,FALSE)*(DAY(D16)-1)+VLOOKUP(YEAR(EDATE(D16,-3)),CPI!$A:$M,MONTH(EDATE(D16,-3))+1,FALSE)*(DAY(EOMONTH(D16,0))-DAY(D16)+1))/DAY(EOMONTH(D16,0)),5)</f>
        <v>183.66452000000001</v>
      </c>
      <c r="F16" s="30">
        <v>37817</v>
      </c>
      <c r="G16" s="31">
        <v>41470</v>
      </c>
      <c r="H16" s="32">
        <v>1000</v>
      </c>
      <c r="I16" s="33">
        <f t="shared" si="0"/>
        <v>0</v>
      </c>
      <c r="J16" s="33">
        <f t="shared" si="1"/>
        <v>0</v>
      </c>
      <c r="K16" s="33">
        <f t="shared" si="1"/>
        <v>0</v>
      </c>
      <c r="L16" s="29">
        <f t="shared" si="1"/>
        <v>0</v>
      </c>
      <c r="M16" s="33">
        <f t="shared" si="1"/>
        <v>0</v>
      </c>
      <c r="N16" s="34">
        <f t="shared" si="1"/>
        <v>0</v>
      </c>
      <c r="O16" s="34">
        <f t="shared" si="2"/>
        <v>0</v>
      </c>
      <c r="P16" s="35">
        <f t="shared" si="9"/>
        <v>0</v>
      </c>
      <c r="Q16" s="36">
        <f t="shared" si="10"/>
        <v>0</v>
      </c>
      <c r="R16" s="37">
        <f t="shared" si="11"/>
        <v>0</v>
      </c>
      <c r="S16" s="35">
        <f t="shared" si="3"/>
        <v>0</v>
      </c>
      <c r="T16" s="36">
        <f t="shared" si="4"/>
        <v>0</v>
      </c>
      <c r="U16" s="37">
        <f t="shared" si="5"/>
        <v>0</v>
      </c>
      <c r="V16" s="36">
        <f t="shared" si="12"/>
        <v>0</v>
      </c>
      <c r="W16" s="42">
        <f t="shared" si="13"/>
        <v>45658</v>
      </c>
      <c r="X16" s="43">
        <f t="shared" si="14"/>
        <v>0</v>
      </c>
      <c r="Y16" s="44">
        <f>IF(W16=0,0,ROUND((VLOOKUP(YEAR(EDATE(W16,-2)),CPI!$A:$M,MONTH(EDATE(W16,-2))+1,FALSE)*(DAY(W16)-1)+VLOOKUP(YEAR(EDATE(W16,-3)),CPI!$A:$M,MONTH(EDATE(W16,-3))+1,FALSE)*(DAY(EOMONTH(W16,0))-DAY(W16)+1))/DAY(EOMONTH(W16,0)),5))</f>
        <v>315.66399999999999</v>
      </c>
      <c r="Z16" s="44">
        <f>IF(X16=0,0,ROUND((VLOOKUP(YEAR(EDATE(X16,-2)),CPI!$A:$M,MONTH(EDATE(X16,-2))+1,FALSE)*(DAY(X16)-1)+VLOOKUP(YEAR(EDATE(X16,-3)),CPI!$A:$M,MONTH(EDATE(X16,-3))+1,FALSE)*(DAY(EOMONTH(X16,0))-DAY(X16)+1))/DAY(EOMONTH(X16,0)),5))</f>
        <v>0</v>
      </c>
      <c r="AA16" s="44">
        <f>ROUND((VLOOKUP(YEAR(EDATE(F16,-2)),CPI!$A:$M,MONTH(EDATE(F16,-2))+1,FALSE)*(DAY(F16)-1)+VLOOKUP(YEAR(EDATE(F16,-3)),CPI!$A:$M,MONTH(EDATE(F16,-3))+1,FALSE)*(DAY(EOMONTH(F16,0))-DAY(F16)+1))/DAY(EOMONTH(F16,0)),5)</f>
        <v>183.66452000000001</v>
      </c>
      <c r="AB16" s="45">
        <f>IF(G16&lt;D$1,E$1,IF(G16&gt;D$2,E$2,ROUND((VLOOKUP(YEAR(EDATE(G16,-2)),CPI!$A:$M,MONTH(EDATE(G16,-2))+1,FALSE)*(DAY(G16)-1)+VLOOKUP(YEAR(EDATE(G16,-3)),CPI!$A:$M,MONTH(EDATE(G16,-3))+1,FALSE)*(DAY(EOMONTH(G16,0))-DAY(G16)+1))/DAY(EOMONTH(G16,0)),5)))</f>
        <v>232.71797000000001</v>
      </c>
      <c r="AC16" s="60" t="str">
        <f t="shared" si="15"/>
        <v/>
      </c>
      <c r="AD16" s="46">
        <f t="shared" si="6"/>
        <v>0</v>
      </c>
      <c r="AE16" s="76">
        <f t="shared" si="16"/>
        <v>267.08</v>
      </c>
      <c r="AF16" s="71">
        <f t="shared" si="17"/>
        <v>0</v>
      </c>
      <c r="AG16" s="71">
        <f t="shared" si="18"/>
        <v>0</v>
      </c>
      <c r="AH16" s="87">
        <f t="shared" si="19"/>
        <v>0</v>
      </c>
      <c r="AI16" s="115">
        <f t="shared" si="7"/>
        <v>0</v>
      </c>
      <c r="AJ16" s="36">
        <f t="shared" si="20"/>
        <v>0</v>
      </c>
      <c r="AK16" s="37">
        <f t="shared" si="21"/>
        <v>0</v>
      </c>
      <c r="AN16" s="8">
        <v>37817</v>
      </c>
      <c r="AO16" s="4" t="b">
        <f t="shared" si="22"/>
        <v>1</v>
      </c>
    </row>
    <row r="17" spans="1:41" x14ac:dyDescent="0.3">
      <c r="A17" s="29">
        <v>2</v>
      </c>
      <c r="B17" s="7">
        <v>10</v>
      </c>
      <c r="C17" s="8">
        <v>41654</v>
      </c>
      <c r="D17" s="149">
        <f t="shared" si="8"/>
        <v>38001</v>
      </c>
      <c r="E17" s="150">
        <f>ROUND((VLOOKUP(YEAR(EDATE(D17,-2)),CPI!$A:$M,MONTH(EDATE(D17,-2))+1,FALSE)*(DAY(D17)-1)+VLOOKUP(YEAR(EDATE(D17,-3)),CPI!$A:$M,MONTH(EDATE(D17,-3))+1,FALSE)*(DAY(EOMONTH(D17,0))-DAY(D17)+1))/DAY(EOMONTH(D17,0)),5)</f>
        <v>184.77419</v>
      </c>
      <c r="F17" s="30">
        <v>38001</v>
      </c>
      <c r="G17" s="31">
        <v>41654</v>
      </c>
      <c r="H17" s="32">
        <v>1000</v>
      </c>
      <c r="I17" s="33">
        <f t="shared" si="0"/>
        <v>0</v>
      </c>
      <c r="J17" s="33">
        <f t="shared" si="1"/>
        <v>0</v>
      </c>
      <c r="K17" s="33">
        <f t="shared" si="1"/>
        <v>0</v>
      </c>
      <c r="L17" s="29">
        <f t="shared" si="1"/>
        <v>0</v>
      </c>
      <c r="M17" s="33">
        <f t="shared" si="1"/>
        <v>0</v>
      </c>
      <c r="N17" s="34">
        <f t="shared" si="1"/>
        <v>0</v>
      </c>
      <c r="O17" s="34">
        <f t="shared" si="2"/>
        <v>0</v>
      </c>
      <c r="P17" s="35">
        <f t="shared" si="9"/>
        <v>0</v>
      </c>
      <c r="Q17" s="36">
        <f t="shared" si="10"/>
        <v>0</v>
      </c>
      <c r="R17" s="37">
        <f t="shared" si="11"/>
        <v>0</v>
      </c>
      <c r="S17" s="35">
        <f t="shared" si="3"/>
        <v>0</v>
      </c>
      <c r="T17" s="36">
        <f t="shared" si="4"/>
        <v>0</v>
      </c>
      <c r="U17" s="37">
        <f t="shared" si="5"/>
        <v>0</v>
      </c>
      <c r="V17" s="36">
        <f t="shared" si="12"/>
        <v>0</v>
      </c>
      <c r="W17" s="42">
        <f t="shared" si="13"/>
        <v>45658</v>
      </c>
      <c r="X17" s="43">
        <f t="shared" si="14"/>
        <v>0</v>
      </c>
      <c r="Y17" s="44">
        <f>IF(W17=0,0,ROUND((VLOOKUP(YEAR(EDATE(W17,-2)),CPI!$A:$M,MONTH(EDATE(W17,-2))+1,FALSE)*(DAY(W17)-1)+VLOOKUP(YEAR(EDATE(W17,-3)),CPI!$A:$M,MONTH(EDATE(W17,-3))+1,FALSE)*(DAY(EOMONTH(W17,0))-DAY(W17)+1))/DAY(EOMONTH(W17,0)),5))</f>
        <v>315.66399999999999</v>
      </c>
      <c r="Z17" s="44">
        <f>IF(X17=0,0,ROUND((VLOOKUP(YEAR(EDATE(X17,-2)),CPI!$A:$M,MONTH(EDATE(X17,-2))+1,FALSE)*(DAY(X17)-1)+VLOOKUP(YEAR(EDATE(X17,-3)),CPI!$A:$M,MONTH(EDATE(X17,-3))+1,FALSE)*(DAY(EOMONTH(X17,0))-DAY(X17)+1))/DAY(EOMONTH(X17,0)),5))</f>
        <v>0</v>
      </c>
      <c r="AA17" s="44">
        <f>ROUND((VLOOKUP(YEAR(EDATE(F17,-2)),CPI!$A:$M,MONTH(EDATE(F17,-2))+1,FALSE)*(DAY(F17)-1)+VLOOKUP(YEAR(EDATE(F17,-3)),CPI!$A:$M,MONTH(EDATE(F17,-3))+1,FALSE)*(DAY(EOMONTH(F17,0))-DAY(F17)+1))/DAY(EOMONTH(F17,0)),5)</f>
        <v>184.77419</v>
      </c>
      <c r="AB17" s="45">
        <f>IF(G17&lt;D$1,E$1,IF(G17&gt;D$2,E$2,ROUND((VLOOKUP(YEAR(EDATE(G17,-2)),CPI!$A:$M,MONTH(EDATE(G17,-2))+1,FALSE)*(DAY(G17)-1)+VLOOKUP(YEAR(EDATE(G17,-3)),CPI!$A:$M,MONTH(EDATE(G17,-3))+1,FALSE)*(DAY(EOMONTH(G17,0))-DAY(G17)+1))/DAY(EOMONTH(G17,0)),5)))</f>
        <v>233.33058</v>
      </c>
      <c r="AC17" s="60" t="str">
        <f t="shared" si="15"/>
        <v/>
      </c>
      <c r="AD17" s="46">
        <f t="shared" si="6"/>
        <v>0</v>
      </c>
      <c r="AE17" s="76">
        <f t="shared" si="16"/>
        <v>262.79000000000008</v>
      </c>
      <c r="AF17" s="71">
        <f t="shared" si="17"/>
        <v>0</v>
      </c>
      <c r="AG17" s="71">
        <f t="shared" si="18"/>
        <v>0</v>
      </c>
      <c r="AH17" s="87">
        <f t="shared" si="19"/>
        <v>0</v>
      </c>
      <c r="AI17" s="115">
        <f t="shared" si="7"/>
        <v>0</v>
      </c>
      <c r="AJ17" s="36">
        <f t="shared" si="20"/>
        <v>0</v>
      </c>
      <c r="AK17" s="37">
        <f t="shared" si="21"/>
        <v>0</v>
      </c>
      <c r="AN17" s="8">
        <v>38001</v>
      </c>
      <c r="AO17" s="4" t="b">
        <f t="shared" si="22"/>
        <v>1</v>
      </c>
    </row>
    <row r="18" spans="1:41" x14ac:dyDescent="0.3">
      <c r="A18" s="29">
        <v>1.25</v>
      </c>
      <c r="B18" s="7">
        <v>5</v>
      </c>
      <c r="C18" s="8">
        <v>41744</v>
      </c>
      <c r="D18" s="149">
        <f t="shared" si="8"/>
        <v>39918</v>
      </c>
      <c r="E18" s="150">
        <f>ROUND((VLOOKUP(YEAR(EDATE(D18,-2)),CPI!$A:$M,MONTH(EDATE(D18,-2))+1,FALSE)*(DAY(D18)-1)+VLOOKUP(YEAR(EDATE(D18,-3)),CPI!$A:$M,MONTH(EDATE(D18,-3))+1,FALSE)*(DAY(EOMONTH(D18,0))-DAY(D18)+1))/DAY(EOMONTH(D18,0)),5)</f>
        <v>211.63300000000001</v>
      </c>
      <c r="F18" s="30">
        <v>39933</v>
      </c>
      <c r="G18" s="31">
        <v>41744</v>
      </c>
      <c r="H18" s="32">
        <v>1000</v>
      </c>
      <c r="I18" s="33">
        <f t="shared" si="0"/>
        <v>0</v>
      </c>
      <c r="J18" s="33">
        <f t="shared" si="1"/>
        <v>0</v>
      </c>
      <c r="K18" s="33">
        <f t="shared" si="1"/>
        <v>0</v>
      </c>
      <c r="L18" s="29">
        <f t="shared" si="1"/>
        <v>0</v>
      </c>
      <c r="M18" s="33">
        <f t="shared" si="1"/>
        <v>0</v>
      </c>
      <c r="N18" s="34">
        <f t="shared" si="1"/>
        <v>0</v>
      </c>
      <c r="O18" s="34">
        <f t="shared" si="2"/>
        <v>0</v>
      </c>
      <c r="P18" s="35">
        <f t="shared" si="9"/>
        <v>0</v>
      </c>
      <c r="Q18" s="36">
        <f t="shared" si="10"/>
        <v>0</v>
      </c>
      <c r="R18" s="37">
        <f t="shared" si="11"/>
        <v>0</v>
      </c>
      <c r="S18" s="35">
        <f t="shared" si="3"/>
        <v>0</v>
      </c>
      <c r="T18" s="36">
        <f t="shared" si="4"/>
        <v>0</v>
      </c>
      <c r="U18" s="37">
        <f t="shared" si="5"/>
        <v>0</v>
      </c>
      <c r="V18" s="36">
        <f t="shared" si="12"/>
        <v>0</v>
      </c>
      <c r="W18" s="42">
        <f t="shared" si="13"/>
        <v>45658</v>
      </c>
      <c r="X18" s="43">
        <f t="shared" si="14"/>
        <v>0</v>
      </c>
      <c r="Y18" s="44">
        <f>IF(W18=0,0,ROUND((VLOOKUP(YEAR(EDATE(W18,-2)),CPI!$A:$M,MONTH(EDATE(W18,-2))+1,FALSE)*(DAY(W18)-1)+VLOOKUP(YEAR(EDATE(W18,-3)),CPI!$A:$M,MONTH(EDATE(W18,-3))+1,FALSE)*(DAY(EOMONTH(W18,0))-DAY(W18)+1))/DAY(EOMONTH(W18,0)),5))</f>
        <v>315.66399999999999</v>
      </c>
      <c r="Z18" s="44">
        <f>IF(X18=0,0,ROUND((VLOOKUP(YEAR(EDATE(X18,-2)),CPI!$A:$M,MONTH(EDATE(X18,-2))+1,FALSE)*(DAY(X18)-1)+VLOOKUP(YEAR(EDATE(X18,-3)),CPI!$A:$M,MONTH(EDATE(X18,-3))+1,FALSE)*(DAY(EOMONTH(X18,0))-DAY(X18)+1))/DAY(EOMONTH(X18,0)),5))</f>
        <v>0</v>
      </c>
      <c r="AA18" s="44">
        <f>ROUND((VLOOKUP(YEAR(EDATE(F18,-2)),CPI!$A:$M,MONTH(EDATE(F18,-2))+1,FALSE)*(DAY(F18)-1)+VLOOKUP(YEAR(EDATE(F18,-3)),CPI!$A:$M,MONTH(EDATE(F18,-3))+1,FALSE)*(DAY(EOMONTH(F18,0))-DAY(F18)+1))/DAY(EOMONTH(F18,0)),5)</f>
        <v>212.15799999999999</v>
      </c>
      <c r="AB18" s="45">
        <f>IF(G18&lt;D$1,E$1,IF(G18&gt;D$2,E$2,ROUND((VLOOKUP(YEAR(EDATE(G18,-2)),CPI!$A:$M,MONTH(EDATE(G18,-2))+1,FALSE)*(DAY(G18)-1)+VLOOKUP(YEAR(EDATE(G18,-3)),CPI!$A:$M,MONTH(EDATE(G18,-3))+1,FALSE)*(DAY(EOMONTH(G18,0))-DAY(G18)+1))/DAY(EOMONTH(G18,0)),5)))</f>
        <v>234.31967</v>
      </c>
      <c r="AC18" s="60" t="str">
        <f t="shared" si="15"/>
        <v/>
      </c>
      <c r="AD18" s="46">
        <f t="shared" si="6"/>
        <v>0</v>
      </c>
      <c r="AE18" s="76">
        <f t="shared" si="16"/>
        <v>104.71999999999993</v>
      </c>
      <c r="AF18" s="71">
        <f t="shared" si="17"/>
        <v>0</v>
      </c>
      <c r="AG18" s="71">
        <f t="shared" si="18"/>
        <v>0</v>
      </c>
      <c r="AH18" s="87">
        <f t="shared" si="19"/>
        <v>0</v>
      </c>
      <c r="AI18" s="115">
        <f t="shared" si="7"/>
        <v>0</v>
      </c>
      <c r="AJ18" s="36">
        <f t="shared" si="20"/>
        <v>0</v>
      </c>
      <c r="AK18" s="37">
        <f t="shared" si="21"/>
        <v>0</v>
      </c>
      <c r="AN18" s="8">
        <v>39918</v>
      </c>
      <c r="AO18" s="4" t="b">
        <f t="shared" si="22"/>
        <v>1</v>
      </c>
    </row>
    <row r="19" spans="1:41" x14ac:dyDescent="0.3">
      <c r="A19" s="29">
        <v>2</v>
      </c>
      <c r="B19" s="7">
        <v>10</v>
      </c>
      <c r="C19" s="8">
        <v>41835</v>
      </c>
      <c r="D19" s="149">
        <f t="shared" si="8"/>
        <v>38183</v>
      </c>
      <c r="E19" s="150">
        <f>ROUND((VLOOKUP(YEAR(EDATE(D19,-2)),CPI!$A:$M,MONTH(EDATE(D19,-2))+1,FALSE)*(DAY(D19)-1)+VLOOKUP(YEAR(EDATE(D19,-3)),CPI!$A:$M,MONTH(EDATE(D19,-3))+1,FALSE)*(DAY(EOMONTH(D19,0))-DAY(D19)+1))/DAY(EOMONTH(D19,0)),5)</f>
        <v>188.49677</v>
      </c>
      <c r="F19" s="30">
        <v>38183</v>
      </c>
      <c r="G19" s="31">
        <v>41835</v>
      </c>
      <c r="H19" s="32">
        <v>1000</v>
      </c>
      <c r="I19" s="33">
        <f t="shared" si="0"/>
        <v>0</v>
      </c>
      <c r="J19" s="33">
        <f t="shared" si="1"/>
        <v>0</v>
      </c>
      <c r="K19" s="33">
        <f t="shared" si="1"/>
        <v>0</v>
      </c>
      <c r="L19" s="29">
        <f t="shared" si="1"/>
        <v>0</v>
      </c>
      <c r="M19" s="33">
        <f t="shared" si="1"/>
        <v>0</v>
      </c>
      <c r="N19" s="34">
        <f t="shared" si="1"/>
        <v>0</v>
      </c>
      <c r="O19" s="34">
        <f t="shared" ref="O19:O106" si="23">SUM(I19:N19)</f>
        <v>0</v>
      </c>
      <c r="P19" s="35">
        <f t="shared" ref="P19:P106" si="24">ROUND(ROUND(P$1/$E19,5)*I19,2)</f>
        <v>0</v>
      </c>
      <c r="Q19" s="36">
        <f t="shared" ref="Q19:Q106" si="25">ROUND(ROUND(Q$1/$E19,5)*J19,2)</f>
        <v>0</v>
      </c>
      <c r="R19" s="37">
        <f t="shared" ref="R19:R106" si="26">ROUND(ROUND(R$1/$E19,5)*K19,2)</f>
        <v>0</v>
      </c>
      <c r="S19" s="35">
        <f t="shared" ref="S19:S106" si="27">ROUND(ROUND(S$1/$E19,5)*L19,2)</f>
        <v>0</v>
      </c>
      <c r="T19" s="36">
        <f t="shared" ref="T19:T106" si="28">ROUND(ROUND(T$1/$E19,5)*M19,2)</f>
        <v>0</v>
      </c>
      <c r="U19" s="37">
        <f t="shared" ref="U19:U106" si="29">ROUND(ROUND(U$1/$E19,5)*N19,2)</f>
        <v>0</v>
      </c>
      <c r="V19" s="36">
        <f t="shared" ref="V19:V106" si="30">SUM(P19:U19)</f>
        <v>0</v>
      </c>
      <c r="W19" s="42">
        <f t="shared" ref="W19:W106" si="31">IF(F19&lt;$X$1,MAX(F19,$W$1),0)</f>
        <v>45658</v>
      </c>
      <c r="X19" s="43">
        <f t="shared" ref="X19:X106" si="32">IF(G19&gt;$W$1,MIN(G19,$X$1),0)</f>
        <v>0</v>
      </c>
      <c r="Y19" s="44">
        <f>IF(W19=0,0,ROUND((VLOOKUP(YEAR(EDATE(W19,-2)),CPI!$A:$M,MONTH(EDATE(W19,-2))+1,FALSE)*(DAY(W19)-1)+VLOOKUP(YEAR(EDATE(W19,-3)),CPI!$A:$M,MONTH(EDATE(W19,-3))+1,FALSE)*(DAY(EOMONTH(W19,0))-DAY(W19)+1))/DAY(EOMONTH(W19,0)),5))</f>
        <v>315.66399999999999</v>
      </c>
      <c r="Z19" s="44">
        <f>IF(X19=0,0,ROUND((VLOOKUP(YEAR(EDATE(X19,-2)),CPI!$A:$M,MONTH(EDATE(X19,-2))+1,FALSE)*(DAY(X19)-1)+VLOOKUP(YEAR(EDATE(X19,-3)),CPI!$A:$M,MONTH(EDATE(X19,-3))+1,FALSE)*(DAY(EOMONTH(X19,0))-DAY(X19)+1))/DAY(EOMONTH(X19,0)),5))</f>
        <v>0</v>
      </c>
      <c r="AA19" s="44">
        <f>ROUND((VLOOKUP(YEAR(EDATE(F19,-2)),CPI!$A:$M,MONTH(EDATE(F19,-2))+1,FALSE)*(DAY(F19)-1)+VLOOKUP(YEAR(EDATE(F19,-3)),CPI!$A:$M,MONTH(EDATE(F19,-3))+1,FALSE)*(DAY(EOMONTH(F19,0))-DAY(F19)+1))/DAY(EOMONTH(F19,0)),5)</f>
        <v>188.49677</v>
      </c>
      <c r="AB19" s="45">
        <f>IF(G19&lt;D$1,E$1,IF(G19&gt;D$2,E$2,ROUND((VLOOKUP(YEAR(EDATE(G19,-2)),CPI!$A:$M,MONTH(EDATE(G19,-2))+1,FALSE)*(DAY(G19)-1)+VLOOKUP(YEAR(EDATE(G19,-3)),CPI!$A:$M,MONTH(EDATE(G19,-3))+1,FALSE)*(DAY(EOMONTH(G19,0))-DAY(G19)+1))/DAY(EOMONTH(G19,0)),5)))</f>
        <v>237.44594000000001</v>
      </c>
      <c r="AC19" s="60" t="str">
        <f t="shared" si="15"/>
        <v/>
      </c>
      <c r="AD19" s="46">
        <f t="shared" si="6"/>
        <v>0</v>
      </c>
      <c r="AE19" s="76">
        <f t="shared" si="16"/>
        <v>259.67999999999989</v>
      </c>
      <c r="AF19" s="71">
        <f t="shared" si="17"/>
        <v>0</v>
      </c>
      <c r="AG19" s="71">
        <f t="shared" si="18"/>
        <v>0</v>
      </c>
      <c r="AH19" s="87">
        <f t="shared" si="19"/>
        <v>0</v>
      </c>
      <c r="AI19" s="115">
        <f t="shared" si="7"/>
        <v>0</v>
      </c>
      <c r="AJ19" s="36">
        <f t="shared" si="20"/>
        <v>0</v>
      </c>
      <c r="AK19" s="37">
        <f t="shared" si="21"/>
        <v>0</v>
      </c>
      <c r="AN19" s="8">
        <v>38183</v>
      </c>
      <c r="AO19" s="4" t="b">
        <f t="shared" si="22"/>
        <v>1</v>
      </c>
    </row>
    <row r="20" spans="1:41" x14ac:dyDescent="0.3">
      <c r="A20" s="29">
        <v>1.625</v>
      </c>
      <c r="B20" s="7">
        <v>10</v>
      </c>
      <c r="C20" s="8">
        <v>42019</v>
      </c>
      <c r="D20" s="149">
        <f t="shared" si="8"/>
        <v>38367</v>
      </c>
      <c r="E20" s="150">
        <f>ROUND((VLOOKUP(YEAR(EDATE(D20,-2)),CPI!$A:$M,MONTH(EDATE(D20,-2))+1,FALSE)*(DAY(D20)-1)+VLOOKUP(YEAR(EDATE(D20,-3)),CPI!$A:$M,MONTH(EDATE(D20,-3))+1,FALSE)*(DAY(EOMONTH(D20,0))-DAY(D20)+1))/DAY(EOMONTH(D20,0)),5)</f>
        <v>190.94515999999999</v>
      </c>
      <c r="F20" s="30">
        <v>38370</v>
      </c>
      <c r="G20" s="31">
        <v>42019</v>
      </c>
      <c r="H20" s="32">
        <v>1000</v>
      </c>
      <c r="I20" s="33">
        <f t="shared" si="0"/>
        <v>0</v>
      </c>
      <c r="J20" s="33">
        <f t="shared" si="1"/>
        <v>0</v>
      </c>
      <c r="K20" s="33">
        <f t="shared" si="1"/>
        <v>0</v>
      </c>
      <c r="L20" s="29">
        <f t="shared" si="1"/>
        <v>0</v>
      </c>
      <c r="M20" s="33">
        <f t="shared" si="1"/>
        <v>0</v>
      </c>
      <c r="N20" s="34">
        <f t="shared" si="1"/>
        <v>0</v>
      </c>
      <c r="O20" s="34">
        <f t="shared" si="23"/>
        <v>0</v>
      </c>
      <c r="P20" s="35">
        <f t="shared" si="24"/>
        <v>0</v>
      </c>
      <c r="Q20" s="36">
        <f t="shared" si="25"/>
        <v>0</v>
      </c>
      <c r="R20" s="37">
        <f t="shared" si="26"/>
        <v>0</v>
      </c>
      <c r="S20" s="35">
        <f t="shared" si="27"/>
        <v>0</v>
      </c>
      <c r="T20" s="36">
        <f t="shared" si="28"/>
        <v>0</v>
      </c>
      <c r="U20" s="37">
        <f t="shared" si="29"/>
        <v>0</v>
      </c>
      <c r="V20" s="36">
        <f t="shared" si="30"/>
        <v>0</v>
      </c>
      <c r="W20" s="42">
        <f t="shared" si="31"/>
        <v>45658</v>
      </c>
      <c r="X20" s="43">
        <f t="shared" si="32"/>
        <v>0</v>
      </c>
      <c r="Y20" s="44">
        <f>IF(W20=0,0,ROUND((VLOOKUP(YEAR(EDATE(W20,-2)),CPI!$A:$M,MONTH(EDATE(W20,-2))+1,FALSE)*(DAY(W20)-1)+VLOOKUP(YEAR(EDATE(W20,-3)),CPI!$A:$M,MONTH(EDATE(W20,-3))+1,FALSE)*(DAY(EOMONTH(W20,0))-DAY(W20)+1))/DAY(EOMONTH(W20,0)),5))</f>
        <v>315.66399999999999</v>
      </c>
      <c r="Z20" s="44">
        <f>IF(X20=0,0,ROUND((VLOOKUP(YEAR(EDATE(X20,-2)),CPI!$A:$M,MONTH(EDATE(X20,-2))+1,FALSE)*(DAY(X20)-1)+VLOOKUP(YEAR(EDATE(X20,-3)),CPI!$A:$M,MONTH(EDATE(X20,-3))+1,FALSE)*(DAY(EOMONTH(X20,0))-DAY(X20)+1))/DAY(EOMONTH(X20,0)),5))</f>
        <v>0</v>
      </c>
      <c r="AA20" s="44">
        <f>ROUND((VLOOKUP(YEAR(EDATE(F20,-2)),CPI!$A:$M,MONTH(EDATE(F20,-2))+1,FALSE)*(DAY(F20)-1)+VLOOKUP(YEAR(EDATE(F20,-3)),CPI!$A:$M,MONTH(EDATE(F20,-3))+1,FALSE)*(DAY(EOMONTH(F20,0))-DAY(F20)+1))/DAY(EOMONTH(F20,0)),5)</f>
        <v>190.95483999999999</v>
      </c>
      <c r="AB20" s="45">
        <f>IF(G20&lt;D$1,E$1,IF(G20&gt;D$2,E$2,ROUND((VLOOKUP(YEAR(EDATE(G20,-2)),CPI!$A:$M,MONTH(EDATE(G20,-2))+1,FALSE)*(DAY(G20)-1)+VLOOKUP(YEAR(EDATE(G20,-3)),CPI!$A:$M,MONTH(EDATE(G20,-3))+1,FALSE)*(DAY(EOMONTH(G20,0))-DAY(G20)+1))/DAY(EOMONTH(G20,0)),5)))</f>
        <v>236.85402999999999</v>
      </c>
      <c r="AC20" s="60" t="str">
        <f t="shared" si="15"/>
        <v/>
      </c>
      <c r="AD20" s="46">
        <f t="shared" si="6"/>
        <v>0</v>
      </c>
      <c r="AE20" s="76">
        <f t="shared" si="16"/>
        <v>240.37999999999982</v>
      </c>
      <c r="AF20" s="71">
        <f t="shared" si="17"/>
        <v>0</v>
      </c>
      <c r="AG20" s="71">
        <f t="shared" si="18"/>
        <v>0</v>
      </c>
      <c r="AH20" s="87">
        <f t="shared" si="19"/>
        <v>0</v>
      </c>
      <c r="AI20" s="115">
        <f t="shared" si="7"/>
        <v>0</v>
      </c>
      <c r="AJ20" s="36">
        <f t="shared" si="20"/>
        <v>0</v>
      </c>
      <c r="AK20" s="37">
        <f t="shared" si="21"/>
        <v>0</v>
      </c>
      <c r="AN20" s="8">
        <v>38367</v>
      </c>
      <c r="AO20" s="4" t="b">
        <f t="shared" si="22"/>
        <v>1</v>
      </c>
    </row>
    <row r="21" spans="1:41" x14ac:dyDescent="0.3">
      <c r="A21" s="29">
        <v>0.5</v>
      </c>
      <c r="B21" s="7">
        <v>5</v>
      </c>
      <c r="C21" s="8">
        <v>42109</v>
      </c>
      <c r="D21" s="149">
        <f t="shared" si="8"/>
        <v>40283</v>
      </c>
      <c r="E21" s="150">
        <f>ROUND((VLOOKUP(YEAR(EDATE(D21,-2)),CPI!$A:$M,MONTH(EDATE(D21,-2))+1,FALSE)*(DAY(D21)-1)+VLOOKUP(YEAR(EDATE(D21,-3)),CPI!$A:$M,MONTH(EDATE(D21,-3))+1,FALSE)*(DAY(EOMONTH(D21,0))-DAY(D21)+1))/DAY(EOMONTH(D21,0)),5)</f>
        <v>216.7122</v>
      </c>
      <c r="F21" s="30">
        <v>40298</v>
      </c>
      <c r="G21" s="31">
        <v>42109</v>
      </c>
      <c r="H21" s="32">
        <v>1000</v>
      </c>
      <c r="I21" s="33">
        <f t="shared" si="0"/>
        <v>0</v>
      </c>
      <c r="J21" s="33">
        <f t="shared" si="1"/>
        <v>0</v>
      </c>
      <c r="K21" s="33">
        <f t="shared" si="1"/>
        <v>0</v>
      </c>
      <c r="L21" s="29">
        <f t="shared" si="1"/>
        <v>0</v>
      </c>
      <c r="M21" s="33">
        <f t="shared" si="1"/>
        <v>0</v>
      </c>
      <c r="N21" s="34">
        <f t="shared" si="1"/>
        <v>0</v>
      </c>
      <c r="O21" s="34">
        <f t="shared" si="23"/>
        <v>0</v>
      </c>
      <c r="P21" s="35">
        <f t="shared" si="24"/>
        <v>0</v>
      </c>
      <c r="Q21" s="36">
        <f t="shared" si="25"/>
        <v>0</v>
      </c>
      <c r="R21" s="37">
        <f t="shared" si="26"/>
        <v>0</v>
      </c>
      <c r="S21" s="35">
        <f t="shared" si="27"/>
        <v>0</v>
      </c>
      <c r="T21" s="36">
        <f t="shared" si="28"/>
        <v>0</v>
      </c>
      <c r="U21" s="37">
        <f t="shared" si="29"/>
        <v>0</v>
      </c>
      <c r="V21" s="36">
        <f t="shared" si="30"/>
        <v>0</v>
      </c>
      <c r="W21" s="42">
        <f t="shared" si="31"/>
        <v>45658</v>
      </c>
      <c r="X21" s="43">
        <f t="shared" si="32"/>
        <v>0</v>
      </c>
      <c r="Y21" s="44">
        <f>IF(W21=0,0,ROUND((VLOOKUP(YEAR(EDATE(W21,-2)),CPI!$A:$M,MONTH(EDATE(W21,-2))+1,FALSE)*(DAY(W21)-1)+VLOOKUP(YEAR(EDATE(W21,-3)),CPI!$A:$M,MONTH(EDATE(W21,-3))+1,FALSE)*(DAY(EOMONTH(W21,0))-DAY(W21)+1))/DAY(EOMONTH(W21,0)),5))</f>
        <v>315.66399999999999</v>
      </c>
      <c r="Z21" s="44">
        <f>IF(X21=0,0,ROUND((VLOOKUP(YEAR(EDATE(X21,-2)),CPI!$A:$M,MONTH(EDATE(X21,-2))+1,FALSE)*(DAY(X21)-1)+VLOOKUP(YEAR(EDATE(X21,-3)),CPI!$A:$M,MONTH(EDATE(X21,-3))+1,FALSE)*(DAY(EOMONTH(X21,0))-DAY(X21)+1))/DAY(EOMONTH(X21,0)),5))</f>
        <v>0</v>
      </c>
      <c r="AA21" s="44">
        <f>ROUND((VLOOKUP(YEAR(EDATE(F21,-2)),CPI!$A:$M,MONTH(EDATE(F21,-2))+1,FALSE)*(DAY(F21)-1)+VLOOKUP(YEAR(EDATE(F21,-3)),CPI!$A:$M,MONTH(EDATE(F21,-3))+1,FALSE)*(DAY(EOMONTH(F21,0))-DAY(F21)+1))/DAY(EOMONTH(F21,0)),5)</f>
        <v>216.73920000000001</v>
      </c>
      <c r="AB21" s="45">
        <f>IF(G21&lt;D$1,E$1,IF(G21&gt;D$2,E$2,ROUND((VLOOKUP(YEAR(EDATE(G21,-2)),CPI!$A:$M,MONTH(EDATE(G21,-2))+1,FALSE)*(DAY(G21)-1)+VLOOKUP(YEAR(EDATE(G21,-3)),CPI!$A:$M,MONTH(EDATE(G21,-3))+1,FALSE)*(DAY(EOMONTH(G21,0))-DAY(G21)+1))/DAY(EOMONTH(G21,0)),5)))</f>
        <v>234.18066999999999</v>
      </c>
      <c r="AC21" s="60" t="str">
        <f t="shared" si="15"/>
        <v/>
      </c>
      <c r="AD21" s="46">
        <f t="shared" si="6"/>
        <v>0</v>
      </c>
      <c r="AE21" s="76">
        <f t="shared" si="16"/>
        <v>80.49000000000018</v>
      </c>
      <c r="AF21" s="71">
        <f t="shared" si="17"/>
        <v>0</v>
      </c>
      <c r="AG21" s="71">
        <f t="shared" si="18"/>
        <v>0</v>
      </c>
      <c r="AH21" s="87">
        <f t="shared" si="19"/>
        <v>0</v>
      </c>
      <c r="AI21" s="115">
        <f t="shared" si="7"/>
        <v>0</v>
      </c>
      <c r="AJ21" s="36">
        <f t="shared" si="20"/>
        <v>0</v>
      </c>
      <c r="AK21" s="37">
        <f t="shared" si="21"/>
        <v>0</v>
      </c>
      <c r="AN21" s="8">
        <v>40283</v>
      </c>
      <c r="AO21" s="4" t="b">
        <f t="shared" si="22"/>
        <v>1</v>
      </c>
    </row>
    <row r="22" spans="1:41" x14ac:dyDescent="0.3">
      <c r="A22" s="29">
        <v>1.875</v>
      </c>
      <c r="B22" s="7">
        <v>10</v>
      </c>
      <c r="C22" s="8">
        <v>42200</v>
      </c>
      <c r="D22" s="149">
        <f t="shared" si="8"/>
        <v>38548</v>
      </c>
      <c r="E22" s="150">
        <f>ROUND((VLOOKUP(YEAR(EDATE(D22,-2)),CPI!$A:$M,MONTH(EDATE(D22,-2))+1,FALSE)*(DAY(D22)-1)+VLOOKUP(YEAR(EDATE(D22,-3)),CPI!$A:$M,MONTH(EDATE(D22,-3))+1,FALSE)*(DAY(EOMONTH(D22,0))-DAY(D22)+1))/DAY(EOMONTH(D22,0)),5)</f>
        <v>194.50968</v>
      </c>
      <c r="F22" s="30">
        <v>38548</v>
      </c>
      <c r="G22" s="31">
        <v>42200</v>
      </c>
      <c r="H22" s="32">
        <v>1000</v>
      </c>
      <c r="I22" s="33">
        <f t="shared" si="0"/>
        <v>0</v>
      </c>
      <c r="J22" s="33">
        <f t="shared" si="1"/>
        <v>0</v>
      </c>
      <c r="K22" s="33">
        <f t="shared" si="1"/>
        <v>0</v>
      </c>
      <c r="L22" s="29">
        <f t="shared" si="1"/>
        <v>0</v>
      </c>
      <c r="M22" s="33">
        <f t="shared" si="1"/>
        <v>0</v>
      </c>
      <c r="N22" s="34">
        <f t="shared" si="1"/>
        <v>0</v>
      </c>
      <c r="O22" s="34">
        <f t="shared" si="23"/>
        <v>0</v>
      </c>
      <c r="P22" s="35">
        <f t="shared" si="24"/>
        <v>0</v>
      </c>
      <c r="Q22" s="36">
        <f t="shared" si="25"/>
        <v>0</v>
      </c>
      <c r="R22" s="37">
        <f t="shared" si="26"/>
        <v>0</v>
      </c>
      <c r="S22" s="35">
        <f t="shared" si="27"/>
        <v>0</v>
      </c>
      <c r="T22" s="36">
        <f t="shared" si="28"/>
        <v>0</v>
      </c>
      <c r="U22" s="37">
        <f t="shared" si="29"/>
        <v>0</v>
      </c>
      <c r="V22" s="36">
        <f t="shared" si="30"/>
        <v>0</v>
      </c>
      <c r="W22" s="42">
        <f t="shared" si="31"/>
        <v>45658</v>
      </c>
      <c r="X22" s="43">
        <f t="shared" si="32"/>
        <v>0</v>
      </c>
      <c r="Y22" s="44">
        <f>IF(W22=0,0,ROUND((VLOOKUP(YEAR(EDATE(W22,-2)),CPI!$A:$M,MONTH(EDATE(W22,-2))+1,FALSE)*(DAY(W22)-1)+VLOOKUP(YEAR(EDATE(W22,-3)),CPI!$A:$M,MONTH(EDATE(W22,-3))+1,FALSE)*(DAY(EOMONTH(W22,0))-DAY(W22)+1))/DAY(EOMONTH(W22,0)),5))</f>
        <v>315.66399999999999</v>
      </c>
      <c r="Z22" s="44">
        <f>IF(X22=0,0,ROUND((VLOOKUP(YEAR(EDATE(X22,-2)),CPI!$A:$M,MONTH(EDATE(X22,-2))+1,FALSE)*(DAY(X22)-1)+VLOOKUP(YEAR(EDATE(X22,-3)),CPI!$A:$M,MONTH(EDATE(X22,-3))+1,FALSE)*(DAY(EOMONTH(X22,0))-DAY(X22)+1))/DAY(EOMONTH(X22,0)),5))</f>
        <v>0</v>
      </c>
      <c r="AA22" s="44">
        <f>ROUND((VLOOKUP(YEAR(EDATE(F22,-2)),CPI!$A:$M,MONTH(EDATE(F22,-2))+1,FALSE)*(DAY(F22)-1)+VLOOKUP(YEAR(EDATE(F22,-3)),CPI!$A:$M,MONTH(EDATE(F22,-3))+1,FALSE)*(DAY(EOMONTH(F22,0))-DAY(F22)+1))/DAY(EOMONTH(F22,0)),5)</f>
        <v>194.50968</v>
      </c>
      <c r="AB22" s="45">
        <f>IF(G22&lt;D$1,E$1,IF(G22&gt;D$2,E$2,ROUND((VLOOKUP(YEAR(EDATE(G22,-2)),CPI!$A:$M,MONTH(EDATE(G22,-2))+1,FALSE)*(DAY(G22)-1)+VLOOKUP(YEAR(EDATE(G22,-3)),CPI!$A:$M,MONTH(EDATE(G22,-3))+1,FALSE)*(DAY(EOMONTH(G22,0))-DAY(G22)+1))/DAY(EOMONTH(G22,0)),5)))</f>
        <v>237.14365000000001</v>
      </c>
      <c r="AC22" s="60" t="str">
        <f t="shared" si="15"/>
        <v/>
      </c>
      <c r="AD22" s="46">
        <f t="shared" si="6"/>
        <v>0</v>
      </c>
      <c r="AE22" s="76">
        <f t="shared" si="16"/>
        <v>219.19</v>
      </c>
      <c r="AF22" s="71">
        <f t="shared" si="17"/>
        <v>0</v>
      </c>
      <c r="AG22" s="71">
        <f t="shared" si="18"/>
        <v>0</v>
      </c>
      <c r="AH22" s="87">
        <f t="shared" si="19"/>
        <v>0</v>
      </c>
      <c r="AI22" s="115">
        <f t="shared" si="7"/>
        <v>0</v>
      </c>
      <c r="AJ22" s="36">
        <f t="shared" si="20"/>
        <v>0</v>
      </c>
      <c r="AK22" s="37">
        <f t="shared" si="21"/>
        <v>0</v>
      </c>
      <c r="AN22" s="8">
        <v>38548</v>
      </c>
      <c r="AO22" s="4" t="b">
        <f t="shared" si="22"/>
        <v>1</v>
      </c>
    </row>
    <row r="23" spans="1:41" x14ac:dyDescent="0.3">
      <c r="A23" s="29">
        <v>2</v>
      </c>
      <c r="B23" s="7">
        <v>10</v>
      </c>
      <c r="C23" s="8">
        <v>42384</v>
      </c>
      <c r="D23" s="149">
        <f t="shared" si="8"/>
        <v>38732</v>
      </c>
      <c r="E23" s="150">
        <f>ROUND((VLOOKUP(YEAR(EDATE(D23,-2)),CPI!$A:$M,MONTH(EDATE(D23,-2))+1,FALSE)*(DAY(D23)-1)+VLOOKUP(YEAR(EDATE(D23,-3)),CPI!$A:$M,MONTH(EDATE(D23,-3))+1,FALSE)*(DAY(EOMONTH(D23,0))-DAY(D23)+1))/DAY(EOMONTH(D23,0)),5)</f>
        <v>198.47742</v>
      </c>
      <c r="F23" s="30">
        <v>38734</v>
      </c>
      <c r="G23" s="31">
        <v>42384</v>
      </c>
      <c r="H23" s="32">
        <v>1000</v>
      </c>
      <c r="I23" s="33">
        <f t="shared" si="0"/>
        <v>0</v>
      </c>
      <c r="J23" s="33">
        <f t="shared" si="1"/>
        <v>0</v>
      </c>
      <c r="K23" s="33">
        <f t="shared" si="1"/>
        <v>0</v>
      </c>
      <c r="L23" s="29">
        <f t="shared" si="1"/>
        <v>0</v>
      </c>
      <c r="M23" s="33">
        <f t="shared" si="1"/>
        <v>0</v>
      </c>
      <c r="N23" s="34">
        <f t="shared" si="1"/>
        <v>0</v>
      </c>
      <c r="O23" s="34">
        <f t="shared" si="23"/>
        <v>0</v>
      </c>
      <c r="P23" s="35">
        <f t="shared" si="24"/>
        <v>0</v>
      </c>
      <c r="Q23" s="36">
        <f t="shared" si="25"/>
        <v>0</v>
      </c>
      <c r="R23" s="37">
        <f t="shared" si="26"/>
        <v>0</v>
      </c>
      <c r="S23" s="35">
        <f t="shared" si="27"/>
        <v>0</v>
      </c>
      <c r="T23" s="36">
        <f t="shared" si="28"/>
        <v>0</v>
      </c>
      <c r="U23" s="37">
        <f t="shared" si="29"/>
        <v>0</v>
      </c>
      <c r="V23" s="36">
        <f t="shared" si="30"/>
        <v>0</v>
      </c>
      <c r="W23" s="42">
        <f t="shared" si="31"/>
        <v>45658</v>
      </c>
      <c r="X23" s="43">
        <f t="shared" si="32"/>
        <v>0</v>
      </c>
      <c r="Y23" s="44">
        <f>IF(W23=0,0,ROUND((VLOOKUP(YEAR(EDATE(W23,-2)),CPI!$A:$M,MONTH(EDATE(W23,-2))+1,FALSE)*(DAY(W23)-1)+VLOOKUP(YEAR(EDATE(W23,-3)),CPI!$A:$M,MONTH(EDATE(W23,-3))+1,FALSE)*(DAY(EOMONTH(W23,0))-DAY(W23)+1))/DAY(EOMONTH(W23,0)),5))</f>
        <v>315.66399999999999</v>
      </c>
      <c r="Z23" s="44">
        <f>IF(X23=0,0,ROUND((VLOOKUP(YEAR(EDATE(X23,-2)),CPI!$A:$M,MONTH(EDATE(X23,-2))+1,FALSE)*(DAY(X23)-1)+VLOOKUP(YEAR(EDATE(X23,-3)),CPI!$A:$M,MONTH(EDATE(X23,-3))+1,FALSE)*(DAY(EOMONTH(X23,0))-DAY(X23)+1))/DAY(EOMONTH(X23,0)),5))</f>
        <v>0</v>
      </c>
      <c r="AA23" s="44">
        <f>ROUND((VLOOKUP(YEAR(EDATE(F23,-2)),CPI!$A:$M,MONTH(EDATE(F23,-2))+1,FALSE)*(DAY(F23)-1)+VLOOKUP(YEAR(EDATE(F23,-3)),CPI!$A:$M,MONTH(EDATE(F23,-3))+1,FALSE)*(DAY(EOMONTH(F23,0))-DAY(F23)+1))/DAY(EOMONTH(F23,0)),5)</f>
        <v>198.37419</v>
      </c>
      <c r="AB23" s="45">
        <f>IF(G23&lt;D$1,E$1,IF(G23&gt;D$2,E$2,ROUND((VLOOKUP(YEAR(EDATE(G23,-2)),CPI!$A:$M,MONTH(EDATE(G23,-2))+1,FALSE)*(DAY(G23)-1)+VLOOKUP(YEAR(EDATE(G23,-3)),CPI!$A:$M,MONTH(EDATE(G23,-3))+1,FALSE)*(DAY(EOMONTH(G23,0))-DAY(G23)+1))/DAY(EOMONTH(G23,0)),5)))</f>
        <v>237.61129</v>
      </c>
      <c r="AC23" s="60" t="str">
        <f t="shared" si="15"/>
        <v/>
      </c>
      <c r="AD23" s="46">
        <f t="shared" si="6"/>
        <v>0</v>
      </c>
      <c r="AE23" s="76">
        <f t="shared" si="16"/>
        <v>197.69000000000003</v>
      </c>
      <c r="AF23" s="71">
        <f t="shared" si="17"/>
        <v>0</v>
      </c>
      <c r="AG23" s="71">
        <f t="shared" si="18"/>
        <v>0</v>
      </c>
      <c r="AH23" s="87">
        <f t="shared" si="19"/>
        <v>0</v>
      </c>
      <c r="AI23" s="115">
        <f t="shared" si="7"/>
        <v>0</v>
      </c>
      <c r="AJ23" s="36">
        <f t="shared" si="20"/>
        <v>0</v>
      </c>
      <c r="AK23" s="37">
        <f t="shared" si="21"/>
        <v>0</v>
      </c>
      <c r="AN23" s="8">
        <v>38732</v>
      </c>
      <c r="AO23" s="4" t="b">
        <f t="shared" si="22"/>
        <v>1</v>
      </c>
    </row>
    <row r="24" spans="1:41" x14ac:dyDescent="0.3">
      <c r="A24" s="29">
        <v>0.125</v>
      </c>
      <c r="B24" s="7">
        <v>5</v>
      </c>
      <c r="C24" s="8">
        <v>42475</v>
      </c>
      <c r="D24" s="149">
        <f t="shared" si="8"/>
        <v>40648</v>
      </c>
      <c r="E24" s="150">
        <f>ROUND((VLOOKUP(YEAR(EDATE(D24,-2)),CPI!$A:$M,MONTH(EDATE(D24,-2))+1,FALSE)*(DAY(D24)-1)+VLOOKUP(YEAR(EDATE(D24,-3)),CPI!$A:$M,MONTH(EDATE(D24,-3))+1,FALSE)*(DAY(EOMONTH(D24,0))-DAY(D24)+1))/DAY(EOMONTH(D24,0)),5)</f>
        <v>220.72980000000001</v>
      </c>
      <c r="F24" s="30">
        <v>40662</v>
      </c>
      <c r="G24" s="31">
        <v>42475</v>
      </c>
      <c r="H24" s="32">
        <v>1000</v>
      </c>
      <c r="I24" s="33">
        <f t="shared" si="0"/>
        <v>0</v>
      </c>
      <c r="J24" s="33">
        <f t="shared" si="1"/>
        <v>0</v>
      </c>
      <c r="K24" s="33">
        <f t="shared" si="1"/>
        <v>0</v>
      </c>
      <c r="L24" s="29">
        <f t="shared" si="1"/>
        <v>0</v>
      </c>
      <c r="M24" s="33">
        <f t="shared" si="1"/>
        <v>0</v>
      </c>
      <c r="N24" s="34">
        <f t="shared" si="1"/>
        <v>0</v>
      </c>
      <c r="O24" s="34">
        <f t="shared" si="23"/>
        <v>0</v>
      </c>
      <c r="P24" s="35">
        <f t="shared" si="24"/>
        <v>0</v>
      </c>
      <c r="Q24" s="36">
        <f t="shared" si="25"/>
        <v>0</v>
      </c>
      <c r="R24" s="37">
        <f t="shared" si="26"/>
        <v>0</v>
      </c>
      <c r="S24" s="35">
        <f t="shared" si="27"/>
        <v>0</v>
      </c>
      <c r="T24" s="36">
        <f t="shared" si="28"/>
        <v>0</v>
      </c>
      <c r="U24" s="37">
        <f t="shared" si="29"/>
        <v>0</v>
      </c>
      <c r="V24" s="36">
        <f t="shared" si="30"/>
        <v>0</v>
      </c>
      <c r="W24" s="42">
        <f t="shared" si="31"/>
        <v>45658</v>
      </c>
      <c r="X24" s="43">
        <f t="shared" si="32"/>
        <v>0</v>
      </c>
      <c r="Y24" s="44">
        <f>IF(W24=0,0,ROUND((VLOOKUP(YEAR(EDATE(W24,-2)),CPI!$A:$M,MONTH(EDATE(W24,-2))+1,FALSE)*(DAY(W24)-1)+VLOOKUP(YEAR(EDATE(W24,-3)),CPI!$A:$M,MONTH(EDATE(W24,-3))+1,FALSE)*(DAY(EOMONTH(W24,0))-DAY(W24)+1))/DAY(EOMONTH(W24,0)),5))</f>
        <v>315.66399999999999</v>
      </c>
      <c r="Z24" s="44">
        <f>IF(X24=0,0,ROUND((VLOOKUP(YEAR(EDATE(X24,-2)),CPI!$A:$M,MONTH(EDATE(X24,-2))+1,FALSE)*(DAY(X24)-1)+VLOOKUP(YEAR(EDATE(X24,-3)),CPI!$A:$M,MONTH(EDATE(X24,-3))+1,FALSE)*(DAY(EOMONTH(X24,0))-DAY(X24)+1))/DAY(EOMONTH(X24,0)),5))</f>
        <v>0</v>
      </c>
      <c r="AA24" s="44">
        <f>ROUND((VLOOKUP(YEAR(EDATE(F24,-2)),CPI!$A:$M,MONTH(EDATE(F24,-2))+1,FALSE)*(DAY(F24)-1)+VLOOKUP(YEAR(EDATE(F24,-3)),CPI!$A:$M,MONTH(EDATE(F24,-3))+1,FALSE)*(DAY(EOMONTH(F24,0))-DAY(F24)+1))/DAY(EOMONTH(F24,0)),5)</f>
        <v>221.23660000000001</v>
      </c>
      <c r="AB24" s="45">
        <f>IF(G24&lt;D$1,E$1,IF(G24&gt;D$2,E$2,ROUND((VLOOKUP(YEAR(EDATE(G24,-2)),CPI!$A:$M,MONTH(EDATE(G24,-2))+1,FALSE)*(DAY(G24)-1)+VLOOKUP(YEAR(EDATE(G24,-3)),CPI!$A:$M,MONTH(EDATE(G24,-3))+1,FALSE)*(DAY(EOMONTH(G24,0))-DAY(G24)+1))/DAY(EOMONTH(G24,0)),5)))</f>
        <v>237.00700000000001</v>
      </c>
      <c r="AC24" s="60" t="str">
        <f t="shared" si="15"/>
        <v/>
      </c>
      <c r="AD24" s="46">
        <f t="shared" si="6"/>
        <v>0</v>
      </c>
      <c r="AE24" s="76">
        <f t="shared" si="16"/>
        <v>71.439999999999941</v>
      </c>
      <c r="AF24" s="71">
        <f t="shared" si="17"/>
        <v>0</v>
      </c>
      <c r="AG24" s="71">
        <f t="shared" si="18"/>
        <v>0</v>
      </c>
      <c r="AH24" s="87">
        <f t="shared" si="19"/>
        <v>0</v>
      </c>
      <c r="AI24" s="115">
        <f t="shared" si="7"/>
        <v>0</v>
      </c>
      <c r="AJ24" s="36">
        <f t="shared" si="20"/>
        <v>0</v>
      </c>
      <c r="AK24" s="37">
        <f t="shared" si="21"/>
        <v>0</v>
      </c>
      <c r="AN24" s="8">
        <v>40648</v>
      </c>
      <c r="AO24" s="4" t="b">
        <f t="shared" si="22"/>
        <v>1</v>
      </c>
    </row>
    <row r="25" spans="1:41" x14ac:dyDescent="0.3">
      <c r="A25" s="29">
        <v>2.5</v>
      </c>
      <c r="B25" s="7">
        <v>10</v>
      </c>
      <c r="C25" s="8">
        <v>42566</v>
      </c>
      <c r="D25" s="149">
        <f t="shared" si="8"/>
        <v>38913</v>
      </c>
      <c r="E25" s="150">
        <f>ROUND((VLOOKUP(YEAR(EDATE(D25,-2)),CPI!$A:$M,MONTH(EDATE(D25,-2))+1,FALSE)*(DAY(D25)-1)+VLOOKUP(YEAR(EDATE(D25,-3)),CPI!$A:$M,MONTH(EDATE(D25,-3))+1,FALSE)*(DAY(EOMONTH(D25,0))-DAY(D25)+1))/DAY(EOMONTH(D25,0)),5)</f>
        <v>201.95160999999999</v>
      </c>
      <c r="F25" s="30">
        <v>38915</v>
      </c>
      <c r="G25" s="31">
        <v>42566</v>
      </c>
      <c r="H25" s="32">
        <v>1000</v>
      </c>
      <c r="I25" s="33">
        <f t="shared" si="0"/>
        <v>0</v>
      </c>
      <c r="J25" s="33">
        <f t="shared" si="1"/>
        <v>0</v>
      </c>
      <c r="K25" s="33">
        <f t="shared" si="1"/>
        <v>0</v>
      </c>
      <c r="L25" s="29">
        <f t="shared" si="1"/>
        <v>0</v>
      </c>
      <c r="M25" s="33">
        <f t="shared" si="1"/>
        <v>0</v>
      </c>
      <c r="N25" s="34">
        <f t="shared" si="1"/>
        <v>0</v>
      </c>
      <c r="O25" s="34">
        <f t="shared" si="23"/>
        <v>0</v>
      </c>
      <c r="P25" s="35">
        <f t="shared" si="24"/>
        <v>0</v>
      </c>
      <c r="Q25" s="36">
        <f t="shared" si="25"/>
        <v>0</v>
      </c>
      <c r="R25" s="37">
        <f t="shared" si="26"/>
        <v>0</v>
      </c>
      <c r="S25" s="35">
        <f t="shared" si="27"/>
        <v>0</v>
      </c>
      <c r="T25" s="36">
        <f t="shared" si="28"/>
        <v>0</v>
      </c>
      <c r="U25" s="37">
        <f t="shared" si="29"/>
        <v>0</v>
      </c>
      <c r="V25" s="36">
        <f t="shared" si="30"/>
        <v>0</v>
      </c>
      <c r="W25" s="42">
        <f t="shared" si="31"/>
        <v>45658</v>
      </c>
      <c r="X25" s="43">
        <f t="shared" si="32"/>
        <v>0</v>
      </c>
      <c r="Y25" s="44">
        <f>IF(W25=0,0,ROUND((VLOOKUP(YEAR(EDATE(W25,-2)),CPI!$A:$M,MONTH(EDATE(W25,-2))+1,FALSE)*(DAY(W25)-1)+VLOOKUP(YEAR(EDATE(W25,-3)),CPI!$A:$M,MONTH(EDATE(W25,-3))+1,FALSE)*(DAY(EOMONTH(W25,0))-DAY(W25)+1))/DAY(EOMONTH(W25,0)),5))</f>
        <v>315.66399999999999</v>
      </c>
      <c r="Z25" s="44">
        <f>IF(X25=0,0,ROUND((VLOOKUP(YEAR(EDATE(X25,-2)),CPI!$A:$M,MONTH(EDATE(X25,-2))+1,FALSE)*(DAY(X25)-1)+VLOOKUP(YEAR(EDATE(X25,-3)),CPI!$A:$M,MONTH(EDATE(X25,-3))+1,FALSE)*(DAY(EOMONTH(X25,0))-DAY(X25)+1))/DAY(EOMONTH(X25,0)),5))</f>
        <v>0</v>
      </c>
      <c r="AA25" s="44">
        <f>ROUND((VLOOKUP(YEAR(EDATE(F25,-2)),CPI!$A:$M,MONTH(EDATE(F25,-2))+1,FALSE)*(DAY(F25)-1)+VLOOKUP(YEAR(EDATE(F25,-3)),CPI!$A:$M,MONTH(EDATE(F25,-3))+1,FALSE)*(DAY(EOMONTH(F25,0))-DAY(F25)+1))/DAY(EOMONTH(F25,0)),5)</f>
        <v>202.01613</v>
      </c>
      <c r="AB25" s="45">
        <f>IF(G25&lt;D$1,E$1,IF(G25&gt;D$2,E$2,ROUND((VLOOKUP(YEAR(EDATE(G25,-2)),CPI!$A:$M,MONTH(EDATE(G25,-2))+1,FALSE)*(DAY(G25)-1)+VLOOKUP(YEAR(EDATE(G25,-3)),CPI!$A:$M,MONTH(EDATE(G25,-3))+1,FALSE)*(DAY(EOMONTH(G25,0))-DAY(G25)+1))/DAY(EOMONTH(G25,0)),5)))</f>
        <v>239.70132000000001</v>
      </c>
      <c r="AC25" s="60" t="str">
        <f t="shared" si="15"/>
        <v/>
      </c>
      <c r="AD25" s="46">
        <f t="shared" si="6"/>
        <v>0</v>
      </c>
      <c r="AE25" s="76">
        <f t="shared" si="16"/>
        <v>186.59999999999988</v>
      </c>
      <c r="AF25" s="71">
        <f t="shared" si="17"/>
        <v>0</v>
      </c>
      <c r="AG25" s="71">
        <f t="shared" si="18"/>
        <v>0</v>
      </c>
      <c r="AH25" s="87">
        <f t="shared" si="19"/>
        <v>0</v>
      </c>
      <c r="AI25" s="115">
        <f t="shared" si="7"/>
        <v>0</v>
      </c>
      <c r="AJ25" s="36">
        <f t="shared" si="20"/>
        <v>0</v>
      </c>
      <c r="AK25" s="37">
        <f t="shared" si="21"/>
        <v>0</v>
      </c>
      <c r="AN25" s="8">
        <v>38913</v>
      </c>
      <c r="AO25" s="4" t="b">
        <f t="shared" si="22"/>
        <v>1</v>
      </c>
    </row>
    <row r="26" spans="1:41" x14ac:dyDescent="0.3">
      <c r="A26" s="29">
        <v>2.375</v>
      </c>
      <c r="B26" s="7">
        <v>10</v>
      </c>
      <c r="C26" s="8">
        <v>42750</v>
      </c>
      <c r="D26" s="149">
        <f t="shared" si="8"/>
        <v>39097</v>
      </c>
      <c r="E26" s="150">
        <f>ROUND((VLOOKUP(YEAR(EDATE(D26,-2)),CPI!$A:$M,MONTH(EDATE(D26,-2))+1,FALSE)*(DAY(D26)-1)+VLOOKUP(YEAR(EDATE(D26,-3)),CPI!$A:$M,MONTH(EDATE(D26,-3))+1,FALSE)*(DAY(EOMONTH(D26,0))-DAY(D26)+1))/DAY(EOMONTH(D26,0)),5)</f>
        <v>201.66452000000001</v>
      </c>
      <c r="F26" s="30">
        <v>39098</v>
      </c>
      <c r="G26" s="31">
        <v>42750</v>
      </c>
      <c r="H26" s="32">
        <v>1000</v>
      </c>
      <c r="I26" s="33">
        <f t="shared" si="0"/>
        <v>0</v>
      </c>
      <c r="J26" s="33">
        <f t="shared" si="1"/>
        <v>0</v>
      </c>
      <c r="K26" s="33">
        <f t="shared" si="1"/>
        <v>0</v>
      </c>
      <c r="L26" s="29">
        <f t="shared" si="1"/>
        <v>0</v>
      </c>
      <c r="M26" s="33">
        <f t="shared" si="1"/>
        <v>0</v>
      </c>
      <c r="N26" s="34">
        <f t="shared" si="1"/>
        <v>0</v>
      </c>
      <c r="O26" s="34">
        <f t="shared" si="23"/>
        <v>0</v>
      </c>
      <c r="P26" s="35">
        <f t="shared" si="24"/>
        <v>0</v>
      </c>
      <c r="Q26" s="36">
        <f t="shared" si="25"/>
        <v>0</v>
      </c>
      <c r="R26" s="37">
        <f t="shared" si="26"/>
        <v>0</v>
      </c>
      <c r="S26" s="35">
        <f t="shared" si="27"/>
        <v>0</v>
      </c>
      <c r="T26" s="36">
        <f t="shared" si="28"/>
        <v>0</v>
      </c>
      <c r="U26" s="37">
        <f t="shared" si="29"/>
        <v>0</v>
      </c>
      <c r="V26" s="36">
        <f t="shared" si="30"/>
        <v>0</v>
      </c>
      <c r="W26" s="42">
        <f t="shared" si="31"/>
        <v>45658</v>
      </c>
      <c r="X26" s="43">
        <f t="shared" si="32"/>
        <v>0</v>
      </c>
      <c r="Y26" s="44">
        <f>IF(W26=0,0,ROUND((VLOOKUP(YEAR(EDATE(W26,-2)),CPI!$A:$M,MONTH(EDATE(W26,-2))+1,FALSE)*(DAY(W26)-1)+VLOOKUP(YEAR(EDATE(W26,-3)),CPI!$A:$M,MONTH(EDATE(W26,-3))+1,FALSE)*(DAY(EOMONTH(W26,0))-DAY(W26)+1))/DAY(EOMONTH(W26,0)),5))</f>
        <v>315.66399999999999</v>
      </c>
      <c r="Z26" s="44">
        <f>IF(X26=0,0,ROUND((VLOOKUP(YEAR(EDATE(X26,-2)),CPI!$A:$M,MONTH(EDATE(X26,-2))+1,FALSE)*(DAY(X26)-1)+VLOOKUP(YEAR(EDATE(X26,-3)),CPI!$A:$M,MONTH(EDATE(X26,-3))+1,FALSE)*(DAY(EOMONTH(X26,0))-DAY(X26)+1))/DAY(EOMONTH(X26,0)),5))</f>
        <v>0</v>
      </c>
      <c r="AA26" s="44">
        <f>ROUND((VLOOKUP(YEAR(EDATE(F26,-2)),CPI!$A:$M,MONTH(EDATE(F26,-2))+1,FALSE)*(DAY(F26)-1)+VLOOKUP(YEAR(EDATE(F26,-3)),CPI!$A:$M,MONTH(EDATE(F26,-3))+1,FALSE)*(DAY(EOMONTH(F26,0))-DAY(F26)+1))/DAY(EOMONTH(F26,0)),5)</f>
        <v>201.65484000000001</v>
      </c>
      <c r="AB26" s="45">
        <f>IF(G26&lt;D$1,E$1,IF(G26&gt;D$2,E$2,ROUND((VLOOKUP(YEAR(EDATE(G26,-2)),CPI!$A:$M,MONTH(EDATE(G26,-2))+1,FALSE)*(DAY(G26)-1)+VLOOKUP(YEAR(EDATE(G26,-3)),CPI!$A:$M,MONTH(EDATE(G26,-3))+1,FALSE)*(DAY(EOMONTH(G26,0))-DAY(G26)+1))/DAY(EOMONTH(G26,0)),5)))</f>
        <v>241.55919</v>
      </c>
      <c r="AC26" s="60" t="str">
        <f t="shared" si="15"/>
        <v/>
      </c>
      <c r="AD26" s="46">
        <f t="shared" si="6"/>
        <v>0</v>
      </c>
      <c r="AE26" s="76">
        <f t="shared" si="16"/>
        <v>197.87999999999994</v>
      </c>
      <c r="AF26" s="71">
        <f t="shared" si="17"/>
        <v>0</v>
      </c>
      <c r="AG26" s="71">
        <f t="shared" si="18"/>
        <v>0</v>
      </c>
      <c r="AH26" s="87">
        <f t="shared" si="19"/>
        <v>0</v>
      </c>
      <c r="AI26" s="115">
        <f t="shared" si="7"/>
        <v>0</v>
      </c>
      <c r="AJ26" s="36">
        <f t="shared" si="20"/>
        <v>0</v>
      </c>
      <c r="AK26" s="37">
        <f t="shared" si="21"/>
        <v>0</v>
      </c>
      <c r="AN26" s="8">
        <v>39097</v>
      </c>
      <c r="AO26" s="4" t="b">
        <f t="shared" si="22"/>
        <v>1</v>
      </c>
    </row>
    <row r="27" spans="1:41" x14ac:dyDescent="0.3">
      <c r="A27" s="29">
        <v>0.125</v>
      </c>
      <c r="B27" s="7">
        <v>5</v>
      </c>
      <c r="C27" s="8">
        <v>42840</v>
      </c>
      <c r="D27" s="149">
        <f t="shared" si="8"/>
        <v>41014</v>
      </c>
      <c r="E27" s="150">
        <f>ROUND((VLOOKUP(YEAR(EDATE(D27,-2)),CPI!$A:$M,MONTH(EDATE(D27,-2))+1,FALSE)*(DAY(D27)-1)+VLOOKUP(YEAR(EDATE(D27,-3)),CPI!$A:$M,MONTH(EDATE(D27,-3))+1,FALSE)*(DAY(EOMONTH(D27,0))-DAY(D27)+1))/DAY(EOMONTH(D27,0)),5)</f>
        <v>227.13073</v>
      </c>
      <c r="F27" s="30">
        <v>41029</v>
      </c>
      <c r="G27" s="31">
        <v>42840</v>
      </c>
      <c r="H27" s="32">
        <v>1000</v>
      </c>
      <c r="I27" s="33">
        <f t="shared" si="0"/>
        <v>0</v>
      </c>
      <c r="J27" s="33">
        <f t="shared" si="1"/>
        <v>0</v>
      </c>
      <c r="K27" s="33">
        <f t="shared" si="1"/>
        <v>0</v>
      </c>
      <c r="L27" s="29">
        <f t="shared" si="1"/>
        <v>0</v>
      </c>
      <c r="M27" s="33">
        <f t="shared" si="1"/>
        <v>0</v>
      </c>
      <c r="N27" s="34">
        <f t="shared" si="1"/>
        <v>0</v>
      </c>
      <c r="O27" s="34">
        <f t="shared" si="23"/>
        <v>0</v>
      </c>
      <c r="P27" s="35">
        <f t="shared" si="24"/>
        <v>0</v>
      </c>
      <c r="Q27" s="36">
        <f t="shared" si="25"/>
        <v>0</v>
      </c>
      <c r="R27" s="37">
        <f t="shared" si="26"/>
        <v>0</v>
      </c>
      <c r="S27" s="35">
        <f t="shared" si="27"/>
        <v>0</v>
      </c>
      <c r="T27" s="36">
        <f t="shared" si="28"/>
        <v>0</v>
      </c>
      <c r="U27" s="37">
        <f t="shared" si="29"/>
        <v>0</v>
      </c>
      <c r="V27" s="36">
        <f t="shared" si="30"/>
        <v>0</v>
      </c>
      <c r="W27" s="42">
        <f t="shared" si="31"/>
        <v>45658</v>
      </c>
      <c r="X27" s="43">
        <f t="shared" si="32"/>
        <v>0</v>
      </c>
      <c r="Y27" s="44">
        <f>IF(W27=0,0,ROUND((VLOOKUP(YEAR(EDATE(W27,-2)),CPI!$A:$M,MONTH(EDATE(W27,-2))+1,FALSE)*(DAY(W27)-1)+VLOOKUP(YEAR(EDATE(W27,-3)),CPI!$A:$M,MONTH(EDATE(W27,-3))+1,FALSE)*(DAY(EOMONTH(W27,0))-DAY(W27)+1))/DAY(EOMONTH(W27,0)),5))</f>
        <v>315.66399999999999</v>
      </c>
      <c r="Z27" s="44">
        <f>IF(X27=0,0,ROUND((VLOOKUP(YEAR(EDATE(X27,-2)),CPI!$A:$M,MONTH(EDATE(X27,-2))+1,FALSE)*(DAY(X27)-1)+VLOOKUP(YEAR(EDATE(X27,-3)),CPI!$A:$M,MONTH(EDATE(X27,-3))+1,FALSE)*(DAY(EOMONTH(X27,0))-DAY(X27)+1))/DAY(EOMONTH(X27,0)),5))</f>
        <v>0</v>
      </c>
      <c r="AA27" s="44">
        <f>ROUND((VLOOKUP(YEAR(EDATE(F27,-2)),CPI!$A:$M,MONTH(EDATE(F27,-2))+1,FALSE)*(DAY(F27)-1)+VLOOKUP(YEAR(EDATE(F27,-3)),CPI!$A:$M,MONTH(EDATE(F27,-3))+1,FALSE)*(DAY(EOMONTH(F27,0))-DAY(F27)+1))/DAY(EOMONTH(F27,0)),5)</f>
        <v>227.62973</v>
      </c>
      <c r="AB27" s="45">
        <f>IF(G27&lt;D$1,E$1,IF(G27&gt;D$2,E$2,ROUND((VLOOKUP(YEAR(EDATE(G27,-2)),CPI!$A:$M,MONTH(EDATE(G27,-2))+1,FALSE)*(DAY(G27)-1)+VLOOKUP(YEAR(EDATE(G27,-3)),CPI!$A:$M,MONTH(EDATE(G27,-3))+1,FALSE)*(DAY(EOMONTH(G27,0))-DAY(G27)+1))/DAY(EOMONTH(G27,0)),5)))</f>
        <v>243.19552999999999</v>
      </c>
      <c r="AC27" s="60" t="str">
        <f t="shared" si="15"/>
        <v/>
      </c>
      <c r="AD27" s="46">
        <f t="shared" si="6"/>
        <v>0</v>
      </c>
      <c r="AE27" s="76">
        <f t="shared" si="16"/>
        <v>68.529999999999973</v>
      </c>
      <c r="AF27" s="71">
        <f t="shared" si="17"/>
        <v>0</v>
      </c>
      <c r="AG27" s="71">
        <f t="shared" si="18"/>
        <v>0</v>
      </c>
      <c r="AH27" s="87">
        <f t="shared" si="19"/>
        <v>0</v>
      </c>
      <c r="AI27" s="115">
        <f t="shared" si="7"/>
        <v>0</v>
      </c>
      <c r="AJ27" s="36">
        <f t="shared" si="20"/>
        <v>0</v>
      </c>
      <c r="AK27" s="37">
        <f t="shared" si="21"/>
        <v>0</v>
      </c>
      <c r="AN27" s="8">
        <v>41014</v>
      </c>
      <c r="AO27" s="4" t="b">
        <f t="shared" si="22"/>
        <v>1</v>
      </c>
    </row>
    <row r="28" spans="1:41" x14ac:dyDescent="0.3">
      <c r="A28" s="29">
        <v>2.625</v>
      </c>
      <c r="B28" s="7">
        <v>10</v>
      </c>
      <c r="C28" s="8">
        <v>42931</v>
      </c>
      <c r="D28" s="149">
        <f t="shared" si="8"/>
        <v>39278</v>
      </c>
      <c r="E28" s="150">
        <f>ROUND((VLOOKUP(YEAR(EDATE(D28,-2)),CPI!$A:$M,MONTH(EDATE(D28,-2))+1,FALSE)*(DAY(D28)-1)+VLOOKUP(YEAR(EDATE(D28,-3)),CPI!$A:$M,MONTH(EDATE(D28,-3))+1,FALSE)*(DAY(EOMONTH(D28,0))-DAY(D28)+1))/DAY(EOMONTH(D28,0)),5)</f>
        <v>207.25639000000001</v>
      </c>
      <c r="F28" s="30">
        <v>39279</v>
      </c>
      <c r="G28" s="31">
        <v>42931</v>
      </c>
      <c r="H28" s="32">
        <v>1000</v>
      </c>
      <c r="I28" s="33">
        <f t="shared" si="0"/>
        <v>0</v>
      </c>
      <c r="J28" s="33">
        <f t="shared" si="1"/>
        <v>0</v>
      </c>
      <c r="K28" s="33">
        <f t="shared" si="1"/>
        <v>0</v>
      </c>
      <c r="L28" s="29">
        <f t="shared" si="1"/>
        <v>0</v>
      </c>
      <c r="M28" s="33">
        <f t="shared" si="1"/>
        <v>0</v>
      </c>
      <c r="N28" s="34">
        <f t="shared" si="1"/>
        <v>0</v>
      </c>
      <c r="O28" s="34">
        <f t="shared" si="23"/>
        <v>0</v>
      </c>
      <c r="P28" s="35">
        <f t="shared" si="24"/>
        <v>0</v>
      </c>
      <c r="Q28" s="36">
        <f t="shared" si="25"/>
        <v>0</v>
      </c>
      <c r="R28" s="37">
        <f t="shared" si="26"/>
        <v>0</v>
      </c>
      <c r="S28" s="35">
        <f t="shared" si="27"/>
        <v>0</v>
      </c>
      <c r="T28" s="36">
        <f t="shared" si="28"/>
        <v>0</v>
      </c>
      <c r="U28" s="37">
        <f t="shared" si="29"/>
        <v>0</v>
      </c>
      <c r="V28" s="36">
        <f t="shared" si="30"/>
        <v>0</v>
      </c>
      <c r="W28" s="42">
        <f t="shared" si="31"/>
        <v>45658</v>
      </c>
      <c r="X28" s="43">
        <f t="shared" si="32"/>
        <v>0</v>
      </c>
      <c r="Y28" s="44">
        <f>IF(W28=0,0,ROUND((VLOOKUP(YEAR(EDATE(W28,-2)),CPI!$A:$M,MONTH(EDATE(W28,-2))+1,FALSE)*(DAY(W28)-1)+VLOOKUP(YEAR(EDATE(W28,-3)),CPI!$A:$M,MONTH(EDATE(W28,-3))+1,FALSE)*(DAY(EOMONTH(W28,0))-DAY(W28)+1))/DAY(EOMONTH(W28,0)),5))</f>
        <v>315.66399999999999</v>
      </c>
      <c r="Z28" s="44">
        <f>IF(X28=0,0,ROUND((VLOOKUP(YEAR(EDATE(X28,-2)),CPI!$A:$M,MONTH(EDATE(X28,-2))+1,FALSE)*(DAY(X28)-1)+VLOOKUP(YEAR(EDATE(X28,-3)),CPI!$A:$M,MONTH(EDATE(X28,-3))+1,FALSE)*(DAY(EOMONTH(X28,0))-DAY(X28)+1))/DAY(EOMONTH(X28,0)),5))</f>
        <v>0</v>
      </c>
      <c r="AA28" s="44">
        <f>ROUND((VLOOKUP(YEAR(EDATE(F28,-2)),CPI!$A:$M,MONTH(EDATE(F28,-2))+1,FALSE)*(DAY(F28)-1)+VLOOKUP(YEAR(EDATE(F28,-3)),CPI!$A:$M,MONTH(EDATE(F28,-3))+1,FALSE)*(DAY(EOMONTH(F28,0))-DAY(F28)+1))/DAY(EOMONTH(F28,0)),5)</f>
        <v>207.29713000000001</v>
      </c>
      <c r="AB28" s="45">
        <f>IF(G28&lt;D$1,E$1,IF(G28&gt;D$2,E$2,ROUND((VLOOKUP(YEAR(EDATE(G28,-2)),CPI!$A:$M,MONTH(EDATE(G28,-2))+1,FALSE)*(DAY(G28)-1)+VLOOKUP(YEAR(EDATE(G28,-3)),CPI!$A:$M,MONTH(EDATE(G28,-3))+1,FALSE)*(DAY(EOMONTH(G28,0))-DAY(G28)+1))/DAY(EOMONTH(G28,0)),5)))</f>
        <v>244.61839000000001</v>
      </c>
      <c r="AC28" s="60" t="str">
        <f t="shared" si="15"/>
        <v/>
      </c>
      <c r="AD28" s="46">
        <f t="shared" si="6"/>
        <v>0</v>
      </c>
      <c r="AE28" s="76">
        <f t="shared" si="16"/>
        <v>180.06999999999996</v>
      </c>
      <c r="AF28" s="71">
        <f t="shared" si="17"/>
        <v>0</v>
      </c>
      <c r="AG28" s="71">
        <f t="shared" si="18"/>
        <v>0</v>
      </c>
      <c r="AH28" s="87">
        <f t="shared" si="19"/>
        <v>0</v>
      </c>
      <c r="AI28" s="115">
        <f t="shared" si="7"/>
        <v>0</v>
      </c>
      <c r="AJ28" s="36">
        <f t="shared" si="20"/>
        <v>0</v>
      </c>
      <c r="AK28" s="37">
        <f t="shared" si="21"/>
        <v>0</v>
      </c>
      <c r="AN28" s="8">
        <v>39278</v>
      </c>
      <c r="AO28" s="4" t="b">
        <f t="shared" si="22"/>
        <v>1</v>
      </c>
    </row>
    <row r="29" spans="1:41" x14ac:dyDescent="0.3">
      <c r="A29" s="29">
        <v>1.625</v>
      </c>
      <c r="B29" s="7">
        <v>10</v>
      </c>
      <c r="C29" s="8">
        <v>43115</v>
      </c>
      <c r="D29" s="149">
        <f t="shared" si="8"/>
        <v>39462</v>
      </c>
      <c r="E29" s="150">
        <f>ROUND((VLOOKUP(YEAR(EDATE(D29,-2)),CPI!$A:$M,MONTH(EDATE(D29,-2))+1,FALSE)*(DAY(D29)-1)+VLOOKUP(YEAR(EDATE(D29,-3)),CPI!$A:$M,MONTH(EDATE(D29,-3))+1,FALSE)*(DAY(EOMONTH(D29,0))-DAY(D29)+1))/DAY(EOMONTH(D29,0)),5)</f>
        <v>209.49645000000001</v>
      </c>
      <c r="F29" s="30">
        <v>39462</v>
      </c>
      <c r="G29" s="31">
        <v>43115</v>
      </c>
      <c r="H29" s="32">
        <v>1000</v>
      </c>
      <c r="I29" s="33">
        <f t="shared" si="0"/>
        <v>0</v>
      </c>
      <c r="J29" s="33">
        <f t="shared" si="1"/>
        <v>0</v>
      </c>
      <c r="K29" s="33">
        <f t="shared" si="1"/>
        <v>0</v>
      </c>
      <c r="L29" s="29">
        <f t="shared" si="1"/>
        <v>0</v>
      </c>
      <c r="M29" s="33">
        <f t="shared" si="1"/>
        <v>0</v>
      </c>
      <c r="N29" s="34">
        <f t="shared" si="1"/>
        <v>0</v>
      </c>
      <c r="O29" s="34">
        <f t="shared" si="23"/>
        <v>0</v>
      </c>
      <c r="P29" s="35">
        <f t="shared" si="24"/>
        <v>0</v>
      </c>
      <c r="Q29" s="36">
        <f t="shared" si="25"/>
        <v>0</v>
      </c>
      <c r="R29" s="37">
        <f t="shared" si="26"/>
        <v>0</v>
      </c>
      <c r="S29" s="35">
        <f t="shared" si="27"/>
        <v>0</v>
      </c>
      <c r="T29" s="36">
        <f t="shared" si="28"/>
        <v>0</v>
      </c>
      <c r="U29" s="37">
        <f t="shared" si="29"/>
        <v>0</v>
      </c>
      <c r="V29" s="36">
        <f t="shared" si="30"/>
        <v>0</v>
      </c>
      <c r="W29" s="42">
        <f t="shared" si="31"/>
        <v>45658</v>
      </c>
      <c r="X29" s="43">
        <f t="shared" si="32"/>
        <v>0</v>
      </c>
      <c r="Y29" s="44">
        <f>IF(W29=0,0,ROUND((VLOOKUP(YEAR(EDATE(W29,-2)),CPI!$A:$M,MONTH(EDATE(W29,-2))+1,FALSE)*(DAY(W29)-1)+VLOOKUP(YEAR(EDATE(W29,-3)),CPI!$A:$M,MONTH(EDATE(W29,-3))+1,FALSE)*(DAY(EOMONTH(W29,0))-DAY(W29)+1))/DAY(EOMONTH(W29,0)),5))</f>
        <v>315.66399999999999</v>
      </c>
      <c r="Z29" s="44">
        <f>IF(X29=0,0,ROUND((VLOOKUP(YEAR(EDATE(X29,-2)),CPI!$A:$M,MONTH(EDATE(X29,-2))+1,FALSE)*(DAY(X29)-1)+VLOOKUP(YEAR(EDATE(X29,-3)),CPI!$A:$M,MONTH(EDATE(X29,-3))+1,FALSE)*(DAY(EOMONTH(X29,0))-DAY(X29)+1))/DAY(EOMONTH(X29,0)),5))</f>
        <v>0</v>
      </c>
      <c r="AA29" s="44">
        <f>ROUND((VLOOKUP(YEAR(EDATE(F29,-2)),CPI!$A:$M,MONTH(EDATE(F29,-2))+1,FALSE)*(DAY(F29)-1)+VLOOKUP(YEAR(EDATE(F29,-3)),CPI!$A:$M,MONTH(EDATE(F29,-3))+1,FALSE)*(DAY(EOMONTH(F29,0))-DAY(F29)+1))/DAY(EOMONTH(F29,0)),5)</f>
        <v>209.49645000000001</v>
      </c>
      <c r="AB29" s="45">
        <f>IF(G29&lt;D$1,E$1,IF(G29&gt;D$2,E$2,ROUND((VLOOKUP(YEAR(EDATE(G29,-2)),CPI!$A:$M,MONTH(EDATE(G29,-2))+1,FALSE)*(DAY(G29)-1)+VLOOKUP(YEAR(EDATE(G29,-3)),CPI!$A:$M,MONTH(EDATE(G29,-3))+1,FALSE)*(DAY(EOMONTH(G29,0))-DAY(G29)+1))/DAY(EOMONTH(G29,0)),5)))</f>
        <v>246.66570999999999</v>
      </c>
      <c r="AC29" s="60" t="str">
        <f t="shared" si="15"/>
        <v/>
      </c>
      <c r="AD29" s="46">
        <f t="shared" si="6"/>
        <v>0</v>
      </c>
      <c r="AE29" s="76">
        <f t="shared" si="16"/>
        <v>177.4199999999999</v>
      </c>
      <c r="AF29" s="71">
        <f t="shared" si="17"/>
        <v>0</v>
      </c>
      <c r="AG29" s="71">
        <f t="shared" si="18"/>
        <v>0</v>
      </c>
      <c r="AH29" s="87">
        <f t="shared" si="19"/>
        <v>0</v>
      </c>
      <c r="AI29" s="115">
        <f t="shared" si="7"/>
        <v>0</v>
      </c>
      <c r="AJ29" s="36">
        <f t="shared" si="20"/>
        <v>0</v>
      </c>
      <c r="AK29" s="37">
        <f t="shared" si="21"/>
        <v>0</v>
      </c>
      <c r="AN29" s="8">
        <v>39462</v>
      </c>
      <c r="AO29" s="4" t="b">
        <f t="shared" si="22"/>
        <v>1</v>
      </c>
    </row>
    <row r="30" spans="1:41" x14ac:dyDescent="0.3">
      <c r="A30" s="29">
        <v>0.125</v>
      </c>
      <c r="B30" s="7">
        <v>5</v>
      </c>
      <c r="C30" s="8">
        <v>43205</v>
      </c>
      <c r="D30" s="149">
        <f t="shared" si="8"/>
        <v>41379</v>
      </c>
      <c r="E30" s="150">
        <f>ROUND((VLOOKUP(YEAR(EDATE(D30,-2)),CPI!$A:$M,MONTH(EDATE(D30,-2))+1,FALSE)*(DAY(D30)-1)+VLOOKUP(YEAR(EDATE(D30,-3)),CPI!$A:$M,MONTH(EDATE(D30,-3))+1,FALSE)*(DAY(EOMONTH(D30,0))-DAY(D30)+1))/DAY(EOMONTH(D30,0)),5)</f>
        <v>231.16013000000001</v>
      </c>
      <c r="F30" s="30">
        <v>41394</v>
      </c>
      <c r="G30" s="31">
        <v>43205</v>
      </c>
      <c r="H30" s="32">
        <v>1000</v>
      </c>
      <c r="I30" s="33">
        <f t="shared" si="0"/>
        <v>0</v>
      </c>
      <c r="J30" s="33">
        <f t="shared" si="1"/>
        <v>0</v>
      </c>
      <c r="K30" s="33">
        <f t="shared" si="1"/>
        <v>0</v>
      </c>
      <c r="L30" s="29">
        <f t="shared" si="1"/>
        <v>0</v>
      </c>
      <c r="M30" s="33">
        <f t="shared" si="1"/>
        <v>0</v>
      </c>
      <c r="N30" s="34">
        <f t="shared" si="1"/>
        <v>0</v>
      </c>
      <c r="O30" s="34">
        <f t="shared" si="23"/>
        <v>0</v>
      </c>
      <c r="P30" s="35">
        <f t="shared" si="24"/>
        <v>0</v>
      </c>
      <c r="Q30" s="36">
        <f t="shared" si="25"/>
        <v>0</v>
      </c>
      <c r="R30" s="37">
        <f t="shared" si="26"/>
        <v>0</v>
      </c>
      <c r="S30" s="35">
        <f t="shared" si="27"/>
        <v>0</v>
      </c>
      <c r="T30" s="36">
        <f t="shared" si="28"/>
        <v>0</v>
      </c>
      <c r="U30" s="37">
        <f t="shared" si="29"/>
        <v>0</v>
      </c>
      <c r="V30" s="36">
        <f t="shared" si="30"/>
        <v>0</v>
      </c>
      <c r="W30" s="42">
        <f t="shared" si="31"/>
        <v>45658</v>
      </c>
      <c r="X30" s="43">
        <f t="shared" si="32"/>
        <v>0</v>
      </c>
      <c r="Y30" s="44">
        <f>IF(W30=0,0,ROUND((VLOOKUP(YEAR(EDATE(W30,-2)),CPI!$A:$M,MONTH(EDATE(W30,-2))+1,FALSE)*(DAY(W30)-1)+VLOOKUP(YEAR(EDATE(W30,-3)),CPI!$A:$M,MONTH(EDATE(W30,-3))+1,FALSE)*(DAY(EOMONTH(W30,0))-DAY(W30)+1))/DAY(EOMONTH(W30,0)),5))</f>
        <v>315.66399999999999</v>
      </c>
      <c r="Z30" s="44">
        <f>IF(X30=0,0,ROUND((VLOOKUP(YEAR(EDATE(X30,-2)),CPI!$A:$M,MONTH(EDATE(X30,-2))+1,FALSE)*(DAY(X30)-1)+VLOOKUP(YEAR(EDATE(X30,-3)),CPI!$A:$M,MONTH(EDATE(X30,-3))+1,FALSE)*(DAY(EOMONTH(X30,0))-DAY(X30)+1))/DAY(EOMONTH(X30,0)),5))</f>
        <v>0</v>
      </c>
      <c r="AA30" s="44">
        <f>ROUND((VLOOKUP(YEAR(EDATE(F30,-2)),CPI!$A:$M,MONTH(EDATE(F30,-2))+1,FALSE)*(DAY(F30)-1)+VLOOKUP(YEAR(EDATE(F30,-3)),CPI!$A:$M,MONTH(EDATE(F30,-3))+1,FALSE)*(DAY(EOMONTH(F30,0))-DAY(F30)+1))/DAY(EOMONTH(F30,0)),5)</f>
        <v>232.10312999999999</v>
      </c>
      <c r="AB30" s="45">
        <f>IF(G30&lt;D$1,E$1,IF(G30&gt;D$2,E$2,ROUND((VLOOKUP(YEAR(EDATE(G30,-2)),CPI!$A:$M,MONTH(EDATE(G30,-2))+1,FALSE)*(DAY(G30)-1)+VLOOKUP(YEAR(EDATE(G30,-3)),CPI!$A:$M,MONTH(EDATE(G30,-3))+1,FALSE)*(DAY(EOMONTH(G30,0))-DAY(G30)+1))/DAY(EOMONTH(G30,0)),5)))</f>
        <v>248.39152999999999</v>
      </c>
      <c r="AC30" s="60" t="str">
        <f t="shared" si="15"/>
        <v/>
      </c>
      <c r="AD30" s="46">
        <f t="shared" si="6"/>
        <v>0</v>
      </c>
      <c r="AE30" s="76">
        <f t="shared" si="16"/>
        <v>70.459999999999965</v>
      </c>
      <c r="AF30" s="71">
        <f t="shared" si="17"/>
        <v>0</v>
      </c>
      <c r="AG30" s="71">
        <f t="shared" si="18"/>
        <v>0</v>
      </c>
      <c r="AH30" s="87">
        <f t="shared" si="19"/>
        <v>0</v>
      </c>
      <c r="AI30" s="115">
        <f t="shared" si="7"/>
        <v>0</v>
      </c>
      <c r="AJ30" s="36">
        <f t="shared" si="20"/>
        <v>0</v>
      </c>
      <c r="AK30" s="37">
        <f t="shared" si="21"/>
        <v>0</v>
      </c>
      <c r="AN30" s="8">
        <v>41379</v>
      </c>
      <c r="AO30" s="4" t="b">
        <f t="shared" si="22"/>
        <v>1</v>
      </c>
    </row>
    <row r="31" spans="1:41" x14ac:dyDescent="0.3">
      <c r="A31" s="29">
        <v>1.375</v>
      </c>
      <c r="B31" s="7">
        <v>10</v>
      </c>
      <c r="C31" s="8">
        <v>43296</v>
      </c>
      <c r="D31" s="149">
        <f t="shared" si="8"/>
        <v>39644</v>
      </c>
      <c r="E31" s="150">
        <f>ROUND((VLOOKUP(YEAR(EDATE(D31,-2)),CPI!$A:$M,MONTH(EDATE(D31,-2))+1,FALSE)*(DAY(D31)-1)+VLOOKUP(YEAR(EDATE(D31,-3)),CPI!$A:$M,MONTH(EDATE(D31,-3))+1,FALSE)*(DAY(EOMONTH(D31,0))-DAY(D31)+1))/DAY(EOMONTH(D31,0)),5)</f>
        <v>215.63997000000001</v>
      </c>
      <c r="F31" s="30">
        <v>39644</v>
      </c>
      <c r="G31" s="31">
        <v>43296</v>
      </c>
      <c r="H31" s="32">
        <v>1000</v>
      </c>
      <c r="I31" s="33">
        <f t="shared" si="0"/>
        <v>0</v>
      </c>
      <c r="J31" s="33">
        <f t="shared" si="1"/>
        <v>0</v>
      </c>
      <c r="K31" s="33">
        <f t="shared" si="1"/>
        <v>0</v>
      </c>
      <c r="L31" s="29">
        <f t="shared" si="1"/>
        <v>0</v>
      </c>
      <c r="M31" s="33">
        <f t="shared" si="1"/>
        <v>0</v>
      </c>
      <c r="N31" s="34">
        <f t="shared" si="1"/>
        <v>0</v>
      </c>
      <c r="O31" s="34">
        <f t="shared" si="23"/>
        <v>0</v>
      </c>
      <c r="P31" s="35">
        <f t="shared" si="24"/>
        <v>0</v>
      </c>
      <c r="Q31" s="36">
        <f t="shared" si="25"/>
        <v>0</v>
      </c>
      <c r="R31" s="37">
        <f t="shared" si="26"/>
        <v>0</v>
      </c>
      <c r="S31" s="35">
        <f t="shared" si="27"/>
        <v>0</v>
      </c>
      <c r="T31" s="36">
        <f t="shared" si="28"/>
        <v>0</v>
      </c>
      <c r="U31" s="37">
        <f t="shared" si="29"/>
        <v>0</v>
      </c>
      <c r="V31" s="36">
        <f t="shared" si="30"/>
        <v>0</v>
      </c>
      <c r="W31" s="42">
        <f t="shared" si="31"/>
        <v>45658</v>
      </c>
      <c r="X31" s="43">
        <f t="shared" si="32"/>
        <v>0</v>
      </c>
      <c r="Y31" s="44">
        <f>IF(W31=0,0,ROUND((VLOOKUP(YEAR(EDATE(W31,-2)),CPI!$A:$M,MONTH(EDATE(W31,-2))+1,FALSE)*(DAY(W31)-1)+VLOOKUP(YEAR(EDATE(W31,-3)),CPI!$A:$M,MONTH(EDATE(W31,-3))+1,FALSE)*(DAY(EOMONTH(W31,0))-DAY(W31)+1))/DAY(EOMONTH(W31,0)),5))</f>
        <v>315.66399999999999</v>
      </c>
      <c r="Z31" s="44">
        <f>IF(X31=0,0,ROUND((VLOOKUP(YEAR(EDATE(X31,-2)),CPI!$A:$M,MONTH(EDATE(X31,-2))+1,FALSE)*(DAY(X31)-1)+VLOOKUP(YEAR(EDATE(X31,-3)),CPI!$A:$M,MONTH(EDATE(X31,-3))+1,FALSE)*(DAY(EOMONTH(X31,0))-DAY(X31)+1))/DAY(EOMONTH(X31,0)),5))</f>
        <v>0</v>
      </c>
      <c r="AA31" s="44">
        <f>ROUND((VLOOKUP(YEAR(EDATE(F31,-2)),CPI!$A:$M,MONTH(EDATE(F31,-2))+1,FALSE)*(DAY(F31)-1)+VLOOKUP(YEAR(EDATE(F31,-3)),CPI!$A:$M,MONTH(EDATE(F31,-3))+1,FALSE)*(DAY(EOMONTH(F31,0))-DAY(F31)+1))/DAY(EOMONTH(F31,0)),5)</f>
        <v>215.63997000000001</v>
      </c>
      <c r="AB31" s="45">
        <f>IF(G31&lt;D$1,E$1,IF(G31&gt;D$2,E$2,ROUND((VLOOKUP(YEAR(EDATE(G31,-2)),CPI!$A:$M,MONTH(EDATE(G31,-2))+1,FALSE)*(DAY(G31)-1)+VLOOKUP(YEAR(EDATE(G31,-3)),CPI!$A:$M,MONTH(EDATE(G31,-3))+1,FALSE)*(DAY(EOMONTH(G31,0))-DAY(G31)+1))/DAY(EOMONTH(G31,0)),5)))</f>
        <v>251.01658</v>
      </c>
      <c r="AC31" s="60" t="str">
        <f t="shared" si="15"/>
        <v/>
      </c>
      <c r="AD31" s="46">
        <f t="shared" si="6"/>
        <v>0</v>
      </c>
      <c r="AE31" s="76">
        <f t="shared" si="16"/>
        <v>164.05000000000004</v>
      </c>
      <c r="AF31" s="71">
        <f t="shared" si="17"/>
        <v>0</v>
      </c>
      <c r="AG31" s="71">
        <f t="shared" si="18"/>
        <v>0</v>
      </c>
      <c r="AH31" s="87">
        <f t="shared" si="19"/>
        <v>0</v>
      </c>
      <c r="AI31" s="115">
        <f t="shared" si="7"/>
        <v>0</v>
      </c>
      <c r="AJ31" s="36">
        <f t="shared" si="20"/>
        <v>0</v>
      </c>
      <c r="AK31" s="37">
        <f t="shared" si="21"/>
        <v>0</v>
      </c>
      <c r="AN31" s="8">
        <v>39644</v>
      </c>
      <c r="AO31" s="4" t="b">
        <f t="shared" si="22"/>
        <v>1</v>
      </c>
    </row>
    <row r="32" spans="1:41" x14ac:dyDescent="0.3">
      <c r="A32" s="29">
        <v>2.125</v>
      </c>
      <c r="B32" s="7">
        <v>10</v>
      </c>
      <c r="C32" s="8">
        <v>43480</v>
      </c>
      <c r="D32" s="149">
        <f t="shared" si="8"/>
        <v>39828</v>
      </c>
      <c r="E32" s="150">
        <f>ROUND((VLOOKUP(YEAR(EDATE(D32,-2)),CPI!$A:$M,MONTH(EDATE(D32,-2))+1,FALSE)*(DAY(D32)-1)+VLOOKUP(YEAR(EDATE(D32,-3)),CPI!$A:$M,MONTH(EDATE(D32,-3))+1,FALSE)*(DAY(EOMONTH(D32,0))-DAY(D32)+1))/DAY(EOMONTH(D32,0)),5)</f>
        <v>214.69971000000001</v>
      </c>
      <c r="F32" s="30">
        <v>39828</v>
      </c>
      <c r="G32" s="31">
        <v>43480</v>
      </c>
      <c r="H32" s="32">
        <v>1000</v>
      </c>
      <c r="I32" s="33">
        <f t="shared" si="0"/>
        <v>0</v>
      </c>
      <c r="J32" s="33">
        <f t="shared" si="1"/>
        <v>0</v>
      </c>
      <c r="K32" s="33">
        <f t="shared" si="1"/>
        <v>0</v>
      </c>
      <c r="L32" s="29">
        <f t="shared" si="1"/>
        <v>0</v>
      </c>
      <c r="M32" s="33">
        <f t="shared" si="1"/>
        <v>0</v>
      </c>
      <c r="N32" s="34">
        <f t="shared" si="1"/>
        <v>0</v>
      </c>
      <c r="O32" s="34">
        <f t="shared" si="23"/>
        <v>0</v>
      </c>
      <c r="P32" s="35">
        <f t="shared" si="24"/>
        <v>0</v>
      </c>
      <c r="Q32" s="36">
        <f t="shared" si="25"/>
        <v>0</v>
      </c>
      <c r="R32" s="37">
        <f t="shared" si="26"/>
        <v>0</v>
      </c>
      <c r="S32" s="35">
        <f t="shared" si="27"/>
        <v>0</v>
      </c>
      <c r="T32" s="36">
        <f t="shared" si="28"/>
        <v>0</v>
      </c>
      <c r="U32" s="37">
        <f t="shared" si="29"/>
        <v>0</v>
      </c>
      <c r="V32" s="36">
        <f t="shared" si="30"/>
        <v>0</v>
      </c>
      <c r="W32" s="42">
        <f t="shared" si="31"/>
        <v>45658</v>
      </c>
      <c r="X32" s="43">
        <f t="shared" si="32"/>
        <v>0</v>
      </c>
      <c r="Y32" s="44">
        <f>IF(W32=0,0,ROUND((VLOOKUP(YEAR(EDATE(W32,-2)),CPI!$A:$M,MONTH(EDATE(W32,-2))+1,FALSE)*(DAY(W32)-1)+VLOOKUP(YEAR(EDATE(W32,-3)),CPI!$A:$M,MONTH(EDATE(W32,-3))+1,FALSE)*(DAY(EOMONTH(W32,0))-DAY(W32)+1))/DAY(EOMONTH(W32,0)),5))</f>
        <v>315.66399999999999</v>
      </c>
      <c r="Z32" s="44">
        <f>IF(X32=0,0,ROUND((VLOOKUP(YEAR(EDATE(X32,-2)),CPI!$A:$M,MONTH(EDATE(X32,-2))+1,FALSE)*(DAY(X32)-1)+VLOOKUP(YEAR(EDATE(X32,-3)),CPI!$A:$M,MONTH(EDATE(X32,-3))+1,FALSE)*(DAY(EOMONTH(X32,0))-DAY(X32)+1))/DAY(EOMONTH(X32,0)),5))</f>
        <v>0</v>
      </c>
      <c r="AA32" s="44">
        <f>ROUND((VLOOKUP(YEAR(EDATE(F32,-2)),CPI!$A:$M,MONTH(EDATE(F32,-2))+1,FALSE)*(DAY(F32)-1)+VLOOKUP(YEAR(EDATE(F32,-3)),CPI!$A:$M,MONTH(EDATE(F32,-3))+1,FALSE)*(DAY(EOMONTH(F32,0))-DAY(F32)+1))/DAY(EOMONTH(F32,0)),5)</f>
        <v>214.69971000000001</v>
      </c>
      <c r="AB32" s="45">
        <f>IF(G32&lt;D$1,E$1,IF(G32&gt;D$2,E$2,ROUND((VLOOKUP(YEAR(EDATE(G32,-2)),CPI!$A:$M,MONTH(EDATE(G32,-2))+1,FALSE)*(DAY(G32)-1)+VLOOKUP(YEAR(EDATE(G32,-3)),CPI!$A:$M,MONTH(EDATE(G32,-3))+1,FALSE)*(DAY(EOMONTH(G32,0))-DAY(G32)+1))/DAY(EOMONTH(G32,0)),5)))</f>
        <v>252.50247999999999</v>
      </c>
      <c r="AC32" s="60" t="str">
        <f t="shared" si="15"/>
        <v/>
      </c>
      <c r="AD32" s="46">
        <f t="shared" si="6"/>
        <v>0</v>
      </c>
      <c r="AE32" s="76">
        <f t="shared" si="16"/>
        <v>176.06999999999994</v>
      </c>
      <c r="AF32" s="71">
        <f t="shared" si="17"/>
        <v>0</v>
      </c>
      <c r="AG32" s="71">
        <f t="shared" si="18"/>
        <v>0</v>
      </c>
      <c r="AH32" s="87">
        <f t="shared" si="19"/>
        <v>0</v>
      </c>
      <c r="AI32" s="115">
        <f t="shared" si="7"/>
        <v>0</v>
      </c>
      <c r="AJ32" s="36">
        <f t="shared" si="20"/>
        <v>0</v>
      </c>
      <c r="AK32" s="37">
        <f t="shared" si="21"/>
        <v>0</v>
      </c>
      <c r="AN32" s="8">
        <v>39828</v>
      </c>
      <c r="AO32" s="4" t="b">
        <f t="shared" si="22"/>
        <v>1</v>
      </c>
    </row>
    <row r="33" spans="1:41" x14ac:dyDescent="0.3">
      <c r="A33" s="29">
        <v>0.125</v>
      </c>
      <c r="B33" s="7">
        <v>5</v>
      </c>
      <c r="C33" s="8">
        <v>43570</v>
      </c>
      <c r="D33" s="149">
        <f t="shared" si="8"/>
        <v>41744</v>
      </c>
      <c r="E33" s="150">
        <f>ROUND((VLOOKUP(YEAR(EDATE(D33,-2)),CPI!$A:$M,MONTH(EDATE(D33,-2))+1,FALSE)*(DAY(D33)-1)+VLOOKUP(YEAR(EDATE(D33,-3)),CPI!$A:$M,MONTH(EDATE(D33,-3))+1,FALSE)*(DAY(EOMONTH(D33,0))-DAY(D33)+1))/DAY(EOMONTH(D33,0)),5)</f>
        <v>234.31967</v>
      </c>
      <c r="F33" s="30">
        <v>41759</v>
      </c>
      <c r="G33" s="31">
        <v>43570</v>
      </c>
      <c r="H33" s="32">
        <v>1000</v>
      </c>
      <c r="I33" s="33">
        <f t="shared" si="0"/>
        <v>0</v>
      </c>
      <c r="J33" s="33">
        <f t="shared" ref="J33:N36" si="33">IF(AND($F33&lt;J$3,J$3&lt;=$G33,MOD(MONTH($C33),6)=MOD(MONTH(J$3),6)),$H33*($A33/200),0)</f>
        <v>0</v>
      </c>
      <c r="K33" s="33">
        <f t="shared" si="33"/>
        <v>0</v>
      </c>
      <c r="L33" s="29">
        <f t="shared" si="33"/>
        <v>0</v>
      </c>
      <c r="M33" s="33">
        <f t="shared" si="33"/>
        <v>0</v>
      </c>
      <c r="N33" s="34">
        <f t="shared" si="33"/>
        <v>0</v>
      </c>
      <c r="O33" s="34">
        <f t="shared" si="23"/>
        <v>0</v>
      </c>
      <c r="P33" s="35">
        <f t="shared" si="24"/>
        <v>0</v>
      </c>
      <c r="Q33" s="36">
        <f t="shared" si="25"/>
        <v>0</v>
      </c>
      <c r="R33" s="37">
        <f t="shared" si="26"/>
        <v>0</v>
      </c>
      <c r="S33" s="35">
        <f t="shared" si="27"/>
        <v>0</v>
      </c>
      <c r="T33" s="36">
        <f t="shared" si="28"/>
        <v>0</v>
      </c>
      <c r="U33" s="37">
        <f t="shared" si="29"/>
        <v>0</v>
      </c>
      <c r="V33" s="36">
        <f t="shared" si="30"/>
        <v>0</v>
      </c>
      <c r="W33" s="42">
        <f t="shared" si="31"/>
        <v>45658</v>
      </c>
      <c r="X33" s="43">
        <f t="shared" si="32"/>
        <v>0</v>
      </c>
      <c r="Y33" s="44">
        <f>IF(W33=0,0,ROUND((VLOOKUP(YEAR(EDATE(W33,-2)),CPI!$A:$M,MONTH(EDATE(W33,-2))+1,FALSE)*(DAY(W33)-1)+VLOOKUP(YEAR(EDATE(W33,-3)),CPI!$A:$M,MONTH(EDATE(W33,-3))+1,FALSE)*(DAY(EOMONTH(W33,0))-DAY(W33)+1))/DAY(EOMONTH(W33,0)),5))</f>
        <v>315.66399999999999</v>
      </c>
      <c r="Z33" s="44">
        <f>IF(X33=0,0,ROUND((VLOOKUP(YEAR(EDATE(X33,-2)),CPI!$A:$M,MONTH(EDATE(X33,-2))+1,FALSE)*(DAY(X33)-1)+VLOOKUP(YEAR(EDATE(X33,-3)),CPI!$A:$M,MONTH(EDATE(X33,-3))+1,FALSE)*(DAY(EOMONTH(X33,0))-DAY(X33)+1))/DAY(EOMONTH(X33,0)),5))</f>
        <v>0</v>
      </c>
      <c r="AA33" s="44">
        <f>ROUND((VLOOKUP(YEAR(EDATE(F33,-2)),CPI!$A:$M,MONTH(EDATE(F33,-2))+1,FALSE)*(DAY(F33)-1)+VLOOKUP(YEAR(EDATE(F33,-3)),CPI!$A:$M,MONTH(EDATE(F33,-3))+1,FALSE)*(DAY(EOMONTH(F33,0))-DAY(F33)+1))/DAY(EOMONTH(F33,0)),5)</f>
        <v>234.75217000000001</v>
      </c>
      <c r="AB33" s="45">
        <f>IF(G33&lt;D$1,E$1,IF(G33&gt;D$2,E$2,ROUND((VLOOKUP(YEAR(EDATE(G33,-2)),CPI!$A:$M,MONTH(EDATE(G33,-2))+1,FALSE)*(DAY(G33)-1)+VLOOKUP(YEAR(EDATE(G33,-3)),CPI!$A:$M,MONTH(EDATE(G33,-3))+1,FALSE)*(DAY(EOMONTH(G33,0))-DAY(G33)+1))/DAY(EOMONTH(G33,0)),5)))</f>
        <v>252.20853</v>
      </c>
      <c r="AC33" s="60" t="str">
        <f t="shared" si="15"/>
        <v/>
      </c>
      <c r="AD33" s="46">
        <f t="shared" si="6"/>
        <v>0</v>
      </c>
      <c r="AE33" s="76">
        <f t="shared" si="16"/>
        <v>74.490000000000165</v>
      </c>
      <c r="AF33" s="71">
        <f t="shared" si="17"/>
        <v>0</v>
      </c>
      <c r="AG33" s="71">
        <f t="shared" si="18"/>
        <v>0</v>
      </c>
      <c r="AH33" s="87">
        <f t="shared" si="19"/>
        <v>0</v>
      </c>
      <c r="AI33" s="115">
        <f t="shared" si="7"/>
        <v>0</v>
      </c>
      <c r="AJ33" s="36">
        <f t="shared" si="20"/>
        <v>0</v>
      </c>
      <c r="AK33" s="37">
        <f t="shared" si="21"/>
        <v>0</v>
      </c>
      <c r="AN33" s="8">
        <v>41744</v>
      </c>
      <c r="AO33" s="4" t="b">
        <f t="shared" si="22"/>
        <v>1</v>
      </c>
    </row>
    <row r="34" spans="1:41" x14ac:dyDescent="0.3">
      <c r="A34" s="29">
        <v>1.875</v>
      </c>
      <c r="B34" s="7">
        <v>10</v>
      </c>
      <c r="C34" s="8">
        <v>43661</v>
      </c>
      <c r="D34" s="149">
        <f t="shared" si="8"/>
        <v>40009</v>
      </c>
      <c r="E34" s="150">
        <f>ROUND((VLOOKUP(YEAR(EDATE(D34,-2)),CPI!$A:$M,MONTH(EDATE(D34,-2))+1,FALSE)*(DAY(D34)-1)+VLOOKUP(YEAR(EDATE(D34,-3)),CPI!$A:$M,MONTH(EDATE(D34,-3))+1,FALSE)*(DAY(EOMONTH(D34,0))-DAY(D34)+1))/DAY(EOMONTH(D34,0)),5)</f>
        <v>213.51819</v>
      </c>
      <c r="F34" s="30">
        <v>40009</v>
      </c>
      <c r="G34" s="31">
        <v>43661</v>
      </c>
      <c r="H34" s="32">
        <v>1000</v>
      </c>
      <c r="I34" s="33">
        <f t="shared" si="0"/>
        <v>0</v>
      </c>
      <c r="J34" s="33">
        <f t="shared" si="33"/>
        <v>0</v>
      </c>
      <c r="K34" s="33">
        <f t="shared" si="33"/>
        <v>0</v>
      </c>
      <c r="L34" s="29">
        <f t="shared" si="33"/>
        <v>0</v>
      </c>
      <c r="M34" s="33">
        <f t="shared" si="33"/>
        <v>0</v>
      </c>
      <c r="N34" s="34">
        <f t="shared" si="33"/>
        <v>0</v>
      </c>
      <c r="O34" s="34">
        <f t="shared" si="23"/>
        <v>0</v>
      </c>
      <c r="P34" s="35">
        <f t="shared" si="24"/>
        <v>0</v>
      </c>
      <c r="Q34" s="36">
        <f t="shared" si="25"/>
        <v>0</v>
      </c>
      <c r="R34" s="37">
        <f t="shared" si="26"/>
        <v>0</v>
      </c>
      <c r="S34" s="35">
        <f t="shared" si="27"/>
        <v>0</v>
      </c>
      <c r="T34" s="36">
        <f t="shared" si="28"/>
        <v>0</v>
      </c>
      <c r="U34" s="37">
        <f t="shared" si="29"/>
        <v>0</v>
      </c>
      <c r="V34" s="36">
        <f t="shared" si="30"/>
        <v>0</v>
      </c>
      <c r="W34" s="42">
        <f t="shared" si="31"/>
        <v>45658</v>
      </c>
      <c r="X34" s="43">
        <f t="shared" si="32"/>
        <v>0</v>
      </c>
      <c r="Y34" s="44">
        <f>IF(W34=0,0,ROUND((VLOOKUP(YEAR(EDATE(W34,-2)),CPI!$A:$M,MONTH(EDATE(W34,-2))+1,FALSE)*(DAY(W34)-1)+VLOOKUP(YEAR(EDATE(W34,-3)),CPI!$A:$M,MONTH(EDATE(W34,-3))+1,FALSE)*(DAY(EOMONTH(W34,0))-DAY(W34)+1))/DAY(EOMONTH(W34,0)),5))</f>
        <v>315.66399999999999</v>
      </c>
      <c r="Z34" s="44">
        <f>IF(X34=0,0,ROUND((VLOOKUP(YEAR(EDATE(X34,-2)),CPI!$A:$M,MONTH(EDATE(X34,-2))+1,FALSE)*(DAY(X34)-1)+VLOOKUP(YEAR(EDATE(X34,-3)),CPI!$A:$M,MONTH(EDATE(X34,-3))+1,FALSE)*(DAY(EOMONTH(X34,0))-DAY(X34)+1))/DAY(EOMONTH(X34,0)),5))</f>
        <v>0</v>
      </c>
      <c r="AA34" s="44">
        <f>ROUND((VLOOKUP(YEAR(EDATE(F34,-2)),CPI!$A:$M,MONTH(EDATE(F34,-2))+1,FALSE)*(DAY(F34)-1)+VLOOKUP(YEAR(EDATE(F34,-3)),CPI!$A:$M,MONTH(EDATE(F34,-3))+1,FALSE)*(DAY(EOMONTH(F34,0))-DAY(F34)+1))/DAY(EOMONTH(F34,0)),5)</f>
        <v>213.51819</v>
      </c>
      <c r="AB34" s="45">
        <f>IF(G34&lt;D$1,E$1,IF(G34&gt;D$2,E$2,ROUND((VLOOKUP(YEAR(EDATE(G34,-2)),CPI!$A:$M,MONTH(EDATE(G34,-2))+1,FALSE)*(DAY(G34)-1)+VLOOKUP(YEAR(EDATE(G34,-3)),CPI!$A:$M,MONTH(EDATE(G34,-3))+1,FALSE)*(DAY(EOMONTH(G34,0))-DAY(G34)+1))/DAY(EOMONTH(G34,0)),5)))</f>
        <v>255.79367999999999</v>
      </c>
      <c r="AC34" s="60" t="str">
        <f t="shared" si="15"/>
        <v/>
      </c>
      <c r="AD34" s="46">
        <f t="shared" si="6"/>
        <v>0</v>
      </c>
      <c r="AE34" s="76">
        <f t="shared" si="16"/>
        <v>197.99000000000012</v>
      </c>
      <c r="AF34" s="71">
        <f t="shared" si="17"/>
        <v>0</v>
      </c>
      <c r="AG34" s="71">
        <f t="shared" si="18"/>
        <v>0</v>
      </c>
      <c r="AH34" s="87">
        <f t="shared" si="19"/>
        <v>0</v>
      </c>
      <c r="AI34" s="115">
        <f t="shared" si="7"/>
        <v>0</v>
      </c>
      <c r="AJ34" s="36">
        <f t="shared" si="20"/>
        <v>0</v>
      </c>
      <c r="AK34" s="37">
        <f t="shared" si="21"/>
        <v>0</v>
      </c>
      <c r="AN34" s="8">
        <v>40009</v>
      </c>
      <c r="AO34" s="4" t="b">
        <f t="shared" si="22"/>
        <v>1</v>
      </c>
    </row>
    <row r="35" spans="1:41" x14ac:dyDescent="0.3">
      <c r="A35" s="29">
        <v>1.375</v>
      </c>
      <c r="B35" s="7">
        <v>10</v>
      </c>
      <c r="C35" s="8">
        <v>43845</v>
      </c>
      <c r="D35" s="149">
        <f t="shared" si="8"/>
        <v>40193</v>
      </c>
      <c r="E35" s="150">
        <f>ROUND((VLOOKUP(YEAR(EDATE(D35,-2)),CPI!$A:$M,MONTH(EDATE(D35,-2))+1,FALSE)*(DAY(D35)-1)+VLOOKUP(YEAR(EDATE(D35,-3)),CPI!$A:$M,MONTH(EDATE(D35,-3))+1,FALSE)*(DAY(EOMONTH(D35,0))-DAY(D35)+1))/DAY(EOMONTH(D35,0)),5)</f>
        <v>216.24610000000001</v>
      </c>
      <c r="F35" s="30">
        <v>40193</v>
      </c>
      <c r="G35" s="31">
        <v>43845</v>
      </c>
      <c r="H35" s="32">
        <v>1000</v>
      </c>
      <c r="I35" s="33">
        <f t="shared" ref="I35:N106" si="34">IF(AND($F35&lt;I$3,I$3&lt;=$G35,MOD(MONTH($C35),6)=MOD(MONTH(I$3),6)),$H35*($A35/200),0)</f>
        <v>0</v>
      </c>
      <c r="J35" s="33">
        <f t="shared" si="34"/>
        <v>0</v>
      </c>
      <c r="K35" s="33">
        <f t="shared" si="34"/>
        <v>0</v>
      </c>
      <c r="L35" s="29">
        <f t="shared" si="34"/>
        <v>0</v>
      </c>
      <c r="M35" s="33">
        <f t="shared" si="34"/>
        <v>0</v>
      </c>
      <c r="N35" s="34">
        <f t="shared" si="34"/>
        <v>0</v>
      </c>
      <c r="O35" s="34">
        <f t="shared" si="23"/>
        <v>0</v>
      </c>
      <c r="P35" s="35">
        <f t="shared" si="24"/>
        <v>0</v>
      </c>
      <c r="Q35" s="36">
        <f t="shared" si="25"/>
        <v>0</v>
      </c>
      <c r="R35" s="37">
        <f t="shared" si="26"/>
        <v>0</v>
      </c>
      <c r="S35" s="35">
        <f t="shared" si="27"/>
        <v>0</v>
      </c>
      <c r="T35" s="36">
        <f t="shared" si="28"/>
        <v>0</v>
      </c>
      <c r="U35" s="37">
        <f t="shared" si="29"/>
        <v>0</v>
      </c>
      <c r="V35" s="36">
        <f t="shared" si="30"/>
        <v>0</v>
      </c>
      <c r="W35" s="42">
        <f t="shared" si="31"/>
        <v>45658</v>
      </c>
      <c r="X35" s="43">
        <f t="shared" si="32"/>
        <v>0</v>
      </c>
      <c r="Y35" s="44">
        <f>IF(W35=0,0,ROUND((VLOOKUP(YEAR(EDATE(W35,-2)),CPI!$A:$M,MONTH(EDATE(W35,-2))+1,FALSE)*(DAY(W35)-1)+VLOOKUP(YEAR(EDATE(W35,-3)),CPI!$A:$M,MONTH(EDATE(W35,-3))+1,FALSE)*(DAY(EOMONTH(W35,0))-DAY(W35)+1))/DAY(EOMONTH(W35,0)),5))</f>
        <v>315.66399999999999</v>
      </c>
      <c r="Z35" s="44">
        <f>IF(X35=0,0,ROUND((VLOOKUP(YEAR(EDATE(X35,-2)),CPI!$A:$M,MONTH(EDATE(X35,-2))+1,FALSE)*(DAY(X35)-1)+VLOOKUP(YEAR(EDATE(X35,-3)),CPI!$A:$M,MONTH(EDATE(X35,-3))+1,FALSE)*(DAY(EOMONTH(X35,0))-DAY(X35)+1))/DAY(EOMONTH(X35,0)),5))</f>
        <v>0</v>
      </c>
      <c r="AA35" s="44">
        <f>ROUND((VLOOKUP(YEAR(EDATE(F35,-2)),CPI!$A:$M,MONTH(EDATE(F35,-2))+1,FALSE)*(DAY(F35)-1)+VLOOKUP(YEAR(EDATE(F35,-3)),CPI!$A:$M,MONTH(EDATE(F35,-3))+1,FALSE)*(DAY(EOMONTH(F35,0))-DAY(F35)+1))/DAY(EOMONTH(F35,0)),5)</f>
        <v>216.24610000000001</v>
      </c>
      <c r="AB35" s="45">
        <f>IF(G35&lt;D$1,E$1,IF(G35&gt;D$2,E$2,ROUND((VLOOKUP(YEAR(EDATE(G35,-2)),CPI!$A:$M,MONTH(EDATE(G35,-2))+1,FALSE)*(DAY(G35)-1)+VLOOKUP(YEAR(EDATE(G35,-3)),CPI!$A:$M,MONTH(EDATE(G35,-3))+1,FALSE)*(DAY(EOMONTH(G35,0))-DAY(G35)+1))/DAY(EOMONTH(G35,0)),5)))</f>
        <v>257.28368</v>
      </c>
      <c r="AC35" s="60" t="str">
        <f t="shared" si="15"/>
        <v/>
      </c>
      <c r="AD35" s="46">
        <f t="shared" si="6"/>
        <v>0</v>
      </c>
      <c r="AE35" s="76">
        <f t="shared" si="16"/>
        <v>189.76999999999998</v>
      </c>
      <c r="AF35" s="71">
        <f t="shared" si="17"/>
        <v>0</v>
      </c>
      <c r="AG35" s="71">
        <f t="shared" si="18"/>
        <v>0</v>
      </c>
      <c r="AH35" s="87">
        <f t="shared" si="19"/>
        <v>0</v>
      </c>
      <c r="AI35" s="115">
        <f t="shared" si="7"/>
        <v>0</v>
      </c>
      <c r="AJ35" s="36">
        <f t="shared" si="20"/>
        <v>0</v>
      </c>
      <c r="AK35" s="37">
        <f t="shared" si="21"/>
        <v>0</v>
      </c>
      <c r="AN35" s="8">
        <v>40193</v>
      </c>
      <c r="AO35" s="4" t="b">
        <f t="shared" si="22"/>
        <v>1</v>
      </c>
    </row>
    <row r="36" spans="1:41" x14ac:dyDescent="0.3">
      <c r="A36" s="29">
        <v>0.125</v>
      </c>
      <c r="B36" s="7">
        <v>5</v>
      </c>
      <c r="C36" s="8">
        <v>43936</v>
      </c>
      <c r="D36" s="149">
        <f t="shared" si="8"/>
        <v>42109</v>
      </c>
      <c r="E36" s="150">
        <f>ROUND((VLOOKUP(YEAR(EDATE(D36,-2)),CPI!$A:$M,MONTH(EDATE(D36,-2))+1,FALSE)*(DAY(D36)-1)+VLOOKUP(YEAR(EDATE(D36,-3)),CPI!$A:$M,MONTH(EDATE(D36,-3))+1,FALSE)*(DAY(EOMONTH(D36,0))-DAY(D36)+1))/DAY(EOMONTH(D36,0)),5)</f>
        <v>234.18066999999999</v>
      </c>
      <c r="F36" s="30">
        <v>42124</v>
      </c>
      <c r="G36" s="31">
        <v>43936</v>
      </c>
      <c r="H36" s="32">
        <v>1000</v>
      </c>
      <c r="I36" s="33">
        <f t="shared" si="0"/>
        <v>0</v>
      </c>
      <c r="J36" s="33">
        <f t="shared" si="33"/>
        <v>0</v>
      </c>
      <c r="K36" s="33">
        <f t="shared" si="33"/>
        <v>0</v>
      </c>
      <c r="L36" s="29">
        <f t="shared" si="33"/>
        <v>0</v>
      </c>
      <c r="M36" s="33">
        <f t="shared" si="33"/>
        <v>0</v>
      </c>
      <c r="N36" s="34">
        <f t="shared" si="33"/>
        <v>0</v>
      </c>
      <c r="O36" s="34">
        <f>SUM(I36:N36)</f>
        <v>0</v>
      </c>
      <c r="P36" s="35">
        <f t="shared" ref="P36:U36" si="35">ROUND(ROUND(P$1/$E36,5)*I36,2)</f>
        <v>0</v>
      </c>
      <c r="Q36" s="36">
        <f t="shared" si="35"/>
        <v>0</v>
      </c>
      <c r="R36" s="37">
        <f t="shared" si="35"/>
        <v>0</v>
      </c>
      <c r="S36" s="35">
        <f t="shared" si="35"/>
        <v>0</v>
      </c>
      <c r="T36" s="36">
        <f t="shared" si="35"/>
        <v>0</v>
      </c>
      <c r="U36" s="37">
        <f t="shared" si="35"/>
        <v>0</v>
      </c>
      <c r="V36" s="36">
        <f>SUM(P36:U36)</f>
        <v>0</v>
      </c>
      <c r="W36" s="42">
        <f>IF(F36&lt;$X$1,MAX(F36,$W$1),0)</f>
        <v>45658</v>
      </c>
      <c r="X36" s="43">
        <f>IF(G36&gt;$W$1,MIN(G36,$X$1),0)</f>
        <v>0</v>
      </c>
      <c r="Y36" s="44">
        <f>IF(W36=0,0,ROUND((VLOOKUP(YEAR(EDATE(W36,-2)),CPI!$A:$M,MONTH(EDATE(W36,-2))+1,FALSE)*(DAY(W36)-1)+VLOOKUP(YEAR(EDATE(W36,-3)),CPI!$A:$M,MONTH(EDATE(W36,-3))+1,FALSE)*(DAY(EOMONTH(W36,0))-DAY(W36)+1))/DAY(EOMONTH(W36,0)),5))</f>
        <v>315.66399999999999</v>
      </c>
      <c r="Z36" s="44">
        <f>IF(X36=0,0,ROUND((VLOOKUP(YEAR(EDATE(X36,-2)),CPI!$A:$M,MONTH(EDATE(X36,-2))+1,FALSE)*(DAY(X36)-1)+VLOOKUP(YEAR(EDATE(X36,-3)),CPI!$A:$M,MONTH(EDATE(X36,-3))+1,FALSE)*(DAY(EOMONTH(X36,0))-DAY(X36)+1))/DAY(EOMONTH(X36,0)),5))</f>
        <v>0</v>
      </c>
      <c r="AA36" s="44">
        <f>ROUND((VLOOKUP(YEAR(EDATE(F36,-2)),CPI!$A:$M,MONTH(EDATE(F36,-2))+1,FALSE)*(DAY(F36)-1)+VLOOKUP(YEAR(EDATE(F36,-3)),CPI!$A:$M,MONTH(EDATE(F36,-3))+1,FALSE)*(DAY(EOMONTH(F36,0))-DAY(F36)+1))/DAY(EOMONTH(F36,0)),5)</f>
        <v>234.68817000000001</v>
      </c>
      <c r="AB36" s="45">
        <f>IF(G36&lt;D$1,E$1,IF(G36&gt;D$2,E$2,ROUND((VLOOKUP(YEAR(EDATE(G36,-2)),CPI!$A:$M,MONTH(EDATE(G36,-2))+1,FALSE)*(DAY(G36)-1)+VLOOKUP(YEAR(EDATE(G36,-3)),CPI!$A:$M,MONTH(EDATE(G36,-3))+1,FALSE)*(DAY(EOMONTH(G36,0))-DAY(G36)+1))/DAY(EOMONTH(G36,0)),5)))</f>
        <v>258.30092999999999</v>
      </c>
      <c r="AC36" s="60" t="str">
        <f t="shared" si="15"/>
        <v/>
      </c>
      <c r="AD36" s="46">
        <f t="shared" si="6"/>
        <v>0</v>
      </c>
      <c r="AE36" s="76">
        <f t="shared" si="16"/>
        <v>100.82999999999997</v>
      </c>
      <c r="AF36" s="71">
        <f t="shared" ref="AF36:AF103" si="36">IF(AND(F36&lt;=AH$2,AH$2&lt;=G36),ROUND(ROUND(AH$1/E36,5)*H36,2),0)</f>
        <v>0</v>
      </c>
      <c r="AG36" s="71">
        <f t="shared" si="18"/>
        <v>0</v>
      </c>
      <c r="AH36" s="87">
        <f t="shared" si="19"/>
        <v>0</v>
      </c>
      <c r="AI36" s="115">
        <f t="shared" ref="AI36:AI67" si="37">IF(AND(F36&lt;=AH$2,AH$2&lt;=G36),VLOOKUP(TEXT(C36,"yyyy-mmdd")&amp;"-"&amp;TEXT(A36,"0.000"),wsj_quotes,10,FALSE),0)</f>
        <v>0</v>
      </c>
      <c r="AJ36" s="36">
        <f t="shared" si="20"/>
        <v>0</v>
      </c>
      <c r="AK36" s="37">
        <f t="shared" si="21"/>
        <v>0</v>
      </c>
      <c r="AN36" s="8">
        <v>42109</v>
      </c>
      <c r="AO36" s="4" t="b">
        <f t="shared" si="22"/>
        <v>1</v>
      </c>
    </row>
    <row r="37" spans="1:41" x14ac:dyDescent="0.3">
      <c r="A37" s="29">
        <v>1.25</v>
      </c>
      <c r="B37" s="7">
        <v>10</v>
      </c>
      <c r="C37" s="8">
        <v>44027</v>
      </c>
      <c r="D37" s="149">
        <f t="shared" si="8"/>
        <v>40374</v>
      </c>
      <c r="E37" s="150">
        <f>ROUND((VLOOKUP(YEAR(EDATE(D37,-2)),CPI!$A:$M,MONTH(EDATE(D37,-2))+1,FALSE)*(DAY(D37)-1)+VLOOKUP(YEAR(EDATE(D37,-3)),CPI!$A:$M,MONTH(EDATE(D37,-3))+1,FALSE)*(DAY(EOMONTH(D37,0))-DAY(D37)+1))/DAY(EOMONTH(D37,0)),5)</f>
        <v>218.08532</v>
      </c>
      <c r="F37" s="30">
        <v>40374</v>
      </c>
      <c r="G37" s="31">
        <v>44027</v>
      </c>
      <c r="H37" s="32">
        <v>1000</v>
      </c>
      <c r="I37" s="33">
        <f t="shared" si="34"/>
        <v>0</v>
      </c>
      <c r="J37" s="33">
        <f t="shared" si="34"/>
        <v>0</v>
      </c>
      <c r="K37" s="33">
        <f t="shared" si="34"/>
        <v>0</v>
      </c>
      <c r="L37" s="29">
        <f t="shared" si="34"/>
        <v>0</v>
      </c>
      <c r="M37" s="33">
        <f t="shared" si="34"/>
        <v>0</v>
      </c>
      <c r="N37" s="34">
        <f t="shared" si="34"/>
        <v>0</v>
      </c>
      <c r="O37" s="34">
        <f t="shared" si="23"/>
        <v>0</v>
      </c>
      <c r="P37" s="35">
        <f t="shared" si="24"/>
        <v>0</v>
      </c>
      <c r="Q37" s="36">
        <f t="shared" si="25"/>
        <v>0</v>
      </c>
      <c r="R37" s="37">
        <f t="shared" si="26"/>
        <v>0</v>
      </c>
      <c r="S37" s="35">
        <f t="shared" si="27"/>
        <v>0</v>
      </c>
      <c r="T37" s="36">
        <f t="shared" si="28"/>
        <v>0</v>
      </c>
      <c r="U37" s="37">
        <f t="shared" si="29"/>
        <v>0</v>
      </c>
      <c r="V37" s="36">
        <f t="shared" si="30"/>
        <v>0</v>
      </c>
      <c r="W37" s="42">
        <f t="shared" si="31"/>
        <v>45658</v>
      </c>
      <c r="X37" s="43">
        <f t="shared" si="32"/>
        <v>0</v>
      </c>
      <c r="Y37" s="44">
        <f>IF(W37=0,0,ROUND((VLOOKUP(YEAR(EDATE(W37,-2)),CPI!$A:$M,MONTH(EDATE(W37,-2))+1,FALSE)*(DAY(W37)-1)+VLOOKUP(YEAR(EDATE(W37,-3)),CPI!$A:$M,MONTH(EDATE(W37,-3))+1,FALSE)*(DAY(EOMONTH(W37,0))-DAY(W37)+1))/DAY(EOMONTH(W37,0)),5))</f>
        <v>315.66399999999999</v>
      </c>
      <c r="Z37" s="44">
        <f>IF(X37=0,0,ROUND((VLOOKUP(YEAR(EDATE(X37,-2)),CPI!$A:$M,MONTH(EDATE(X37,-2))+1,FALSE)*(DAY(X37)-1)+VLOOKUP(YEAR(EDATE(X37,-3)),CPI!$A:$M,MONTH(EDATE(X37,-3))+1,FALSE)*(DAY(EOMONTH(X37,0))-DAY(X37)+1))/DAY(EOMONTH(X37,0)),5))</f>
        <v>0</v>
      </c>
      <c r="AA37" s="44">
        <f>ROUND((VLOOKUP(YEAR(EDATE(F37,-2)),CPI!$A:$M,MONTH(EDATE(F37,-2))+1,FALSE)*(DAY(F37)-1)+VLOOKUP(YEAR(EDATE(F37,-3)),CPI!$A:$M,MONTH(EDATE(F37,-3))+1,FALSE)*(DAY(EOMONTH(F37,0))-DAY(F37)+1))/DAY(EOMONTH(F37,0)),5)</f>
        <v>218.08532</v>
      </c>
      <c r="AB37" s="45">
        <f>IF(G37&lt;D$1,E$1,IF(G37&gt;D$2,E$2,ROUND((VLOOKUP(YEAR(EDATE(G37,-2)),CPI!$A:$M,MONTH(EDATE(G37,-2))+1,FALSE)*(DAY(G37)-1)+VLOOKUP(YEAR(EDATE(G37,-3)),CPI!$A:$M,MONTH(EDATE(G37,-3))+1,FALSE)*(DAY(EOMONTH(G37,0))-DAY(G37)+1))/DAY(EOMONTH(G37,0)),5)))</f>
        <v>256.39125999999999</v>
      </c>
      <c r="AC37" s="60" t="str">
        <f t="shared" si="15"/>
        <v/>
      </c>
      <c r="AD37" s="46">
        <f t="shared" si="6"/>
        <v>0</v>
      </c>
      <c r="AE37" s="76">
        <f t="shared" si="16"/>
        <v>175.65000000000009</v>
      </c>
      <c r="AF37" s="71">
        <f t="shared" si="36"/>
        <v>0</v>
      </c>
      <c r="AG37" s="71">
        <f t="shared" si="18"/>
        <v>0</v>
      </c>
      <c r="AH37" s="87">
        <f t="shared" si="19"/>
        <v>0</v>
      </c>
      <c r="AI37" s="115">
        <f t="shared" si="37"/>
        <v>0</v>
      </c>
      <c r="AJ37" s="36">
        <f t="shared" si="20"/>
        <v>0</v>
      </c>
      <c r="AK37" s="37">
        <f t="shared" si="21"/>
        <v>0</v>
      </c>
      <c r="AN37" s="8">
        <v>40374</v>
      </c>
      <c r="AO37" s="4" t="b">
        <f t="shared" si="22"/>
        <v>1</v>
      </c>
    </row>
    <row r="38" spans="1:41" x14ac:dyDescent="0.3">
      <c r="A38" s="29">
        <v>1.125</v>
      </c>
      <c r="B38" s="7">
        <v>10</v>
      </c>
      <c r="C38" s="8">
        <v>44211</v>
      </c>
      <c r="D38" s="149">
        <f t="shared" si="8"/>
        <v>40558</v>
      </c>
      <c r="E38" s="150">
        <f>ROUND((VLOOKUP(YEAR(EDATE(D38,-2)),CPI!$A:$M,MONTH(EDATE(D38,-2))+1,FALSE)*(DAY(D38)-1)+VLOOKUP(YEAR(EDATE(D38,-3)),CPI!$A:$M,MONTH(EDATE(D38,-3))+1,FALSE)*(DAY(EOMONTH(D38,0))-DAY(D38)+1))/DAY(EOMONTH(D38,0)),5)</f>
        <v>218.75255000000001</v>
      </c>
      <c r="F38" s="30">
        <v>40574</v>
      </c>
      <c r="G38" s="31">
        <v>44211</v>
      </c>
      <c r="H38" s="32">
        <v>1000</v>
      </c>
      <c r="I38" s="33">
        <f t="shared" si="34"/>
        <v>0</v>
      </c>
      <c r="J38" s="33">
        <f t="shared" si="34"/>
        <v>0</v>
      </c>
      <c r="K38" s="33">
        <f t="shared" si="34"/>
        <v>0</v>
      </c>
      <c r="L38" s="29">
        <f t="shared" si="34"/>
        <v>0</v>
      </c>
      <c r="M38" s="33">
        <f t="shared" si="34"/>
        <v>0</v>
      </c>
      <c r="N38" s="34">
        <f t="shared" si="34"/>
        <v>0</v>
      </c>
      <c r="O38" s="34">
        <f t="shared" si="23"/>
        <v>0</v>
      </c>
      <c r="P38" s="35">
        <f t="shared" si="24"/>
        <v>0</v>
      </c>
      <c r="Q38" s="36">
        <f t="shared" si="25"/>
        <v>0</v>
      </c>
      <c r="R38" s="37">
        <f t="shared" si="26"/>
        <v>0</v>
      </c>
      <c r="S38" s="35">
        <f t="shared" si="27"/>
        <v>0</v>
      </c>
      <c r="T38" s="36">
        <f t="shared" si="28"/>
        <v>0</v>
      </c>
      <c r="U38" s="37">
        <f t="shared" si="29"/>
        <v>0</v>
      </c>
      <c r="V38" s="36">
        <f t="shared" si="30"/>
        <v>0</v>
      </c>
      <c r="W38" s="42">
        <f t="shared" si="31"/>
        <v>45658</v>
      </c>
      <c r="X38" s="43">
        <f t="shared" si="32"/>
        <v>0</v>
      </c>
      <c r="Y38" s="44">
        <f>IF(W38=0,0,ROUND((VLOOKUP(YEAR(EDATE(W38,-2)),CPI!$A:$M,MONTH(EDATE(W38,-2))+1,FALSE)*(DAY(W38)-1)+VLOOKUP(YEAR(EDATE(W38,-3)),CPI!$A:$M,MONTH(EDATE(W38,-3))+1,FALSE)*(DAY(EOMONTH(W38,0))-DAY(W38)+1))/DAY(EOMONTH(W38,0)),5))</f>
        <v>315.66399999999999</v>
      </c>
      <c r="Z38" s="44">
        <f>IF(X38=0,0,ROUND((VLOOKUP(YEAR(EDATE(X38,-2)),CPI!$A:$M,MONTH(EDATE(X38,-2))+1,FALSE)*(DAY(X38)-1)+VLOOKUP(YEAR(EDATE(X38,-3)),CPI!$A:$M,MONTH(EDATE(X38,-3))+1,FALSE)*(DAY(EOMONTH(X38,0))-DAY(X38)+1))/DAY(EOMONTH(X38,0)),5))</f>
        <v>0</v>
      </c>
      <c r="AA38" s="44">
        <f>ROUND((VLOOKUP(YEAR(EDATE(F38,-2)),CPI!$A:$M,MONTH(EDATE(F38,-2))+1,FALSE)*(DAY(F38)-1)+VLOOKUP(YEAR(EDATE(F38,-3)),CPI!$A:$M,MONTH(EDATE(F38,-3))+1,FALSE)*(DAY(EOMONTH(F38,0))-DAY(F38)+1))/DAY(EOMONTH(F38,0)),5)</f>
        <v>218.80002999999999</v>
      </c>
      <c r="AB38" s="45">
        <f>IF(G38&lt;D$1,E$1,IF(G38&gt;D$2,E$2,ROUND((VLOOKUP(YEAR(EDATE(G38,-2)),CPI!$A:$M,MONTH(EDATE(G38,-2))+1,FALSE)*(DAY(G38)-1)+VLOOKUP(YEAR(EDATE(G38,-3)),CPI!$A:$M,MONTH(EDATE(G38,-3))+1,FALSE)*(DAY(EOMONTH(G38,0))-DAY(G38)+1))/DAY(EOMONTH(G38,0)),5)))</f>
        <v>260.31619000000001</v>
      </c>
      <c r="AC38" s="60" t="str">
        <f t="shared" si="15"/>
        <v/>
      </c>
      <c r="AD38" s="46">
        <f t="shared" si="6"/>
        <v>0</v>
      </c>
      <c r="AE38" s="76">
        <f t="shared" si="16"/>
        <v>189.77999999999983</v>
      </c>
      <c r="AF38" s="71">
        <f t="shared" si="36"/>
        <v>0</v>
      </c>
      <c r="AG38" s="71">
        <f t="shared" si="18"/>
        <v>0</v>
      </c>
      <c r="AH38" s="87">
        <f t="shared" si="19"/>
        <v>0</v>
      </c>
      <c r="AI38" s="115">
        <f t="shared" si="37"/>
        <v>0</v>
      </c>
      <c r="AJ38" s="36">
        <f t="shared" si="20"/>
        <v>0</v>
      </c>
      <c r="AK38" s="37">
        <f t="shared" si="21"/>
        <v>0</v>
      </c>
      <c r="AN38" s="8">
        <v>40558</v>
      </c>
      <c r="AO38" s="4" t="b">
        <f t="shared" si="22"/>
        <v>1</v>
      </c>
    </row>
    <row r="39" spans="1:41" x14ac:dyDescent="0.3">
      <c r="A39" s="29">
        <v>0.125</v>
      </c>
      <c r="B39" s="7">
        <v>5</v>
      </c>
      <c r="C39" s="8">
        <v>44301</v>
      </c>
      <c r="D39" s="149">
        <f t="shared" si="8"/>
        <v>42475</v>
      </c>
      <c r="E39" s="150">
        <f>ROUND((VLOOKUP(YEAR(EDATE(D39,-2)),CPI!$A:$M,MONTH(EDATE(D39,-2))+1,FALSE)*(DAY(D39)-1)+VLOOKUP(YEAR(EDATE(D39,-3)),CPI!$A:$M,MONTH(EDATE(D39,-3))+1,FALSE)*(DAY(EOMONTH(D39,0))-DAY(D39)+1))/DAY(EOMONTH(D39,0)),5)</f>
        <v>237.00700000000001</v>
      </c>
      <c r="F39" s="30">
        <v>42489</v>
      </c>
      <c r="G39" s="31">
        <v>44301</v>
      </c>
      <c r="H39" s="32">
        <v>1000</v>
      </c>
      <c r="I39" s="33">
        <f t="shared" si="34"/>
        <v>0</v>
      </c>
      <c r="J39" s="33">
        <f t="shared" si="34"/>
        <v>0</v>
      </c>
      <c r="K39" s="33">
        <f t="shared" si="34"/>
        <v>0</v>
      </c>
      <c r="L39" s="29">
        <f t="shared" si="34"/>
        <v>0</v>
      </c>
      <c r="M39" s="33">
        <f t="shared" si="34"/>
        <v>0</v>
      </c>
      <c r="N39" s="34">
        <f t="shared" si="34"/>
        <v>0</v>
      </c>
      <c r="O39" s="34">
        <f>SUM(I39:N39)</f>
        <v>0</v>
      </c>
      <c r="P39" s="35">
        <f t="shared" si="24"/>
        <v>0</v>
      </c>
      <c r="Q39" s="36">
        <f t="shared" si="25"/>
        <v>0</v>
      </c>
      <c r="R39" s="37">
        <f t="shared" si="26"/>
        <v>0</v>
      </c>
      <c r="S39" s="35">
        <f t="shared" si="27"/>
        <v>0</v>
      </c>
      <c r="T39" s="36">
        <f t="shared" si="28"/>
        <v>0</v>
      </c>
      <c r="U39" s="37">
        <f t="shared" si="29"/>
        <v>0</v>
      </c>
      <c r="V39" s="36">
        <f>SUM(P39:U39)</f>
        <v>0</v>
      </c>
      <c r="W39" s="42">
        <f>IF(F39&lt;$X$1,MAX(F39,$W$1),0)</f>
        <v>45658</v>
      </c>
      <c r="X39" s="43">
        <f>IF(G39&gt;$W$1,MIN(G39,$X$1),0)</f>
        <v>0</v>
      </c>
      <c r="Y39" s="44">
        <f>IF(W39=0,0,ROUND((VLOOKUP(YEAR(EDATE(W39,-2)),CPI!$A:$M,MONTH(EDATE(W39,-2))+1,FALSE)*(DAY(W39)-1)+VLOOKUP(YEAR(EDATE(W39,-3)),CPI!$A:$M,MONTH(EDATE(W39,-3))+1,FALSE)*(DAY(EOMONTH(W39,0))-DAY(W39)+1))/DAY(EOMONTH(W39,0)),5))</f>
        <v>315.66399999999999</v>
      </c>
      <c r="Z39" s="44">
        <f>IF(X39=0,0,ROUND((VLOOKUP(YEAR(EDATE(X39,-2)),CPI!$A:$M,MONTH(EDATE(X39,-2))+1,FALSE)*(DAY(X39)-1)+VLOOKUP(YEAR(EDATE(X39,-3)),CPI!$A:$M,MONTH(EDATE(X39,-3))+1,FALSE)*(DAY(EOMONTH(X39,0))-DAY(X39)+1))/DAY(EOMONTH(X39,0)),5))</f>
        <v>0</v>
      </c>
      <c r="AA39" s="44">
        <f>ROUND((VLOOKUP(YEAR(EDATE(F39,-2)),CPI!$A:$M,MONTH(EDATE(F39,-2))+1,FALSE)*(DAY(F39)-1)+VLOOKUP(YEAR(EDATE(F39,-3)),CPI!$A:$M,MONTH(EDATE(F39,-3))+1,FALSE)*(DAY(EOMONTH(F39,0))-DAY(F39)+1))/DAY(EOMONTH(F39,0)),5)</f>
        <v>237.09800000000001</v>
      </c>
      <c r="AB39" s="45">
        <f>IF(G39&lt;D$1,E$1,IF(G39&gt;D$2,E$2,ROUND((VLOOKUP(YEAR(EDATE(G39,-2)),CPI!$A:$M,MONTH(EDATE(G39,-2))+1,FALSE)*(DAY(G39)-1)+VLOOKUP(YEAR(EDATE(G39,-3)),CPI!$A:$M,MONTH(EDATE(G39,-3))+1,FALSE)*(DAY(EOMONTH(G39,0))-DAY(G39)+1))/DAY(EOMONTH(G39,0)),5)))</f>
        <v>262.25027</v>
      </c>
      <c r="AC39" s="60" t="str">
        <f t="shared" si="15"/>
        <v/>
      </c>
      <c r="AD39" s="46">
        <f t="shared" si="6"/>
        <v>0</v>
      </c>
      <c r="AE39" s="76">
        <f t="shared" si="16"/>
        <v>106.13000000000005</v>
      </c>
      <c r="AF39" s="71">
        <f t="shared" si="36"/>
        <v>0</v>
      </c>
      <c r="AG39" s="71">
        <f t="shared" si="18"/>
        <v>0</v>
      </c>
      <c r="AH39" s="87">
        <f t="shared" si="19"/>
        <v>0</v>
      </c>
      <c r="AI39" s="115">
        <f t="shared" si="37"/>
        <v>0</v>
      </c>
      <c r="AJ39" s="36">
        <f t="shared" si="20"/>
        <v>0</v>
      </c>
      <c r="AK39" s="37">
        <f t="shared" si="21"/>
        <v>0</v>
      </c>
      <c r="AN39" s="8">
        <v>42475</v>
      </c>
      <c r="AO39" s="4" t="b">
        <f t="shared" si="22"/>
        <v>1</v>
      </c>
    </row>
    <row r="40" spans="1:41" x14ac:dyDescent="0.3">
      <c r="A40" s="29">
        <v>0.625</v>
      </c>
      <c r="B40" s="7">
        <v>10</v>
      </c>
      <c r="C40" s="8">
        <v>44392</v>
      </c>
      <c r="D40" s="149">
        <f t="shared" si="8"/>
        <v>40739</v>
      </c>
      <c r="E40" s="150">
        <f>ROUND((VLOOKUP(YEAR(EDATE(D40,-2)),CPI!$A:$M,MONTH(EDATE(D40,-2))+1,FALSE)*(DAY(D40)-1)+VLOOKUP(YEAR(EDATE(D40,-3)),CPI!$A:$M,MONTH(EDATE(D40,-3))+1,FALSE)*(DAY(EOMONTH(D40,0))-DAY(D40)+1))/DAY(EOMONTH(D40,0)),5)</f>
        <v>225.38381000000001</v>
      </c>
      <c r="F40" s="30">
        <v>40753</v>
      </c>
      <c r="G40" s="31">
        <v>44392</v>
      </c>
      <c r="H40" s="32">
        <v>1000</v>
      </c>
      <c r="I40" s="33">
        <f t="shared" si="34"/>
        <v>0</v>
      </c>
      <c r="J40" s="33">
        <f t="shared" si="34"/>
        <v>0</v>
      </c>
      <c r="K40" s="33">
        <f t="shared" si="34"/>
        <v>0</v>
      </c>
      <c r="L40" s="29">
        <f t="shared" si="34"/>
        <v>0</v>
      </c>
      <c r="M40" s="33">
        <f t="shared" si="34"/>
        <v>0</v>
      </c>
      <c r="N40" s="34">
        <f t="shared" si="34"/>
        <v>0</v>
      </c>
      <c r="O40" s="34">
        <f t="shared" si="23"/>
        <v>0</v>
      </c>
      <c r="P40" s="35">
        <f t="shared" si="24"/>
        <v>0</v>
      </c>
      <c r="Q40" s="36">
        <f t="shared" si="25"/>
        <v>0</v>
      </c>
      <c r="R40" s="37">
        <f t="shared" si="26"/>
        <v>0</v>
      </c>
      <c r="S40" s="35">
        <f t="shared" si="27"/>
        <v>0</v>
      </c>
      <c r="T40" s="36">
        <f t="shared" si="28"/>
        <v>0</v>
      </c>
      <c r="U40" s="37">
        <f t="shared" si="29"/>
        <v>0</v>
      </c>
      <c r="V40" s="36">
        <f t="shared" si="30"/>
        <v>0</v>
      </c>
      <c r="W40" s="42">
        <f t="shared" si="31"/>
        <v>45658</v>
      </c>
      <c r="X40" s="43">
        <f t="shared" si="32"/>
        <v>0</v>
      </c>
      <c r="Y40" s="44">
        <f>IF(W40=0,0,ROUND((VLOOKUP(YEAR(EDATE(W40,-2)),CPI!$A:$M,MONTH(EDATE(W40,-2))+1,FALSE)*(DAY(W40)-1)+VLOOKUP(YEAR(EDATE(W40,-3)),CPI!$A:$M,MONTH(EDATE(W40,-3))+1,FALSE)*(DAY(EOMONTH(W40,0))-DAY(W40)+1))/DAY(EOMONTH(W40,0)),5))</f>
        <v>315.66399999999999</v>
      </c>
      <c r="Z40" s="44">
        <f>IF(X40=0,0,ROUND((VLOOKUP(YEAR(EDATE(X40,-2)),CPI!$A:$M,MONTH(EDATE(X40,-2))+1,FALSE)*(DAY(X40)-1)+VLOOKUP(YEAR(EDATE(X40,-3)),CPI!$A:$M,MONTH(EDATE(X40,-3))+1,FALSE)*(DAY(EOMONTH(X40,0))-DAY(X40)+1))/DAY(EOMONTH(X40,0)),5))</f>
        <v>0</v>
      </c>
      <c r="AA40" s="44">
        <f>ROUND((VLOOKUP(YEAR(EDATE(F40,-2)),CPI!$A:$M,MONTH(EDATE(F40,-2))+1,FALSE)*(DAY(F40)-1)+VLOOKUP(YEAR(EDATE(F40,-3)),CPI!$A:$M,MONTH(EDATE(F40,-3))+1,FALSE)*(DAY(EOMONTH(F40,0))-DAY(F40)+1))/DAY(EOMONTH(F40,0)),5)</f>
        <v>225.86161000000001</v>
      </c>
      <c r="AB40" s="45">
        <f>IF(G40&lt;D$1,E$1,IF(G40&gt;D$2,E$2,ROUND((VLOOKUP(YEAR(EDATE(G40,-2)),CPI!$A:$M,MONTH(EDATE(G40,-2))+1,FALSE)*(DAY(G40)-1)+VLOOKUP(YEAR(EDATE(G40,-3)),CPI!$A:$M,MONTH(EDATE(G40,-3))+1,FALSE)*(DAY(EOMONTH(G40,0))-DAY(G40)+1))/DAY(EOMONTH(G40,0)),5)))</f>
        <v>268.02089999999998</v>
      </c>
      <c r="AC40" s="60" t="str">
        <f t="shared" si="15"/>
        <v/>
      </c>
      <c r="AD40" s="46">
        <f t="shared" si="6"/>
        <v>0</v>
      </c>
      <c r="AE40" s="76">
        <f t="shared" si="16"/>
        <v>187.06</v>
      </c>
      <c r="AF40" s="71">
        <f t="shared" si="36"/>
        <v>0</v>
      </c>
      <c r="AG40" s="71">
        <f t="shared" si="18"/>
        <v>0</v>
      </c>
      <c r="AH40" s="87">
        <f t="shared" si="19"/>
        <v>0</v>
      </c>
      <c r="AI40" s="115">
        <f t="shared" si="37"/>
        <v>0</v>
      </c>
      <c r="AJ40" s="36">
        <f t="shared" si="20"/>
        <v>0</v>
      </c>
      <c r="AK40" s="37">
        <f t="shared" si="21"/>
        <v>0</v>
      </c>
      <c r="AN40" s="8">
        <v>40739</v>
      </c>
      <c r="AO40" s="4" t="b">
        <f t="shared" si="22"/>
        <v>1</v>
      </c>
    </row>
    <row r="41" spans="1:41" x14ac:dyDescent="0.3">
      <c r="A41" s="29">
        <v>0.125</v>
      </c>
      <c r="B41" s="7">
        <v>10</v>
      </c>
      <c r="C41" s="8">
        <v>44576</v>
      </c>
      <c r="D41" s="149">
        <f t="shared" si="8"/>
        <v>40923</v>
      </c>
      <c r="E41" s="150">
        <f>ROUND((VLOOKUP(YEAR(EDATE(D41,-2)),CPI!$A:$M,MONTH(EDATE(D41,-2))+1,FALSE)*(DAY(D41)-1)+VLOOKUP(YEAR(EDATE(D41,-3)),CPI!$A:$M,MONTH(EDATE(D41,-3))+1,FALSE)*(DAY(EOMONTH(D41,0))-DAY(D41)+1))/DAY(EOMONTH(D41,0)),5)</f>
        <v>226.33474000000001</v>
      </c>
      <c r="F41" s="30">
        <v>40939</v>
      </c>
      <c r="G41" s="31">
        <v>44576</v>
      </c>
      <c r="H41" s="32">
        <v>1000</v>
      </c>
      <c r="I41" s="33">
        <f t="shared" si="34"/>
        <v>0</v>
      </c>
      <c r="J41" s="33">
        <f t="shared" si="34"/>
        <v>0</v>
      </c>
      <c r="K41" s="33">
        <f t="shared" si="34"/>
        <v>0</v>
      </c>
      <c r="L41" s="29">
        <f t="shared" si="34"/>
        <v>0</v>
      </c>
      <c r="M41" s="33">
        <f t="shared" si="34"/>
        <v>0</v>
      </c>
      <c r="N41" s="34">
        <f t="shared" si="34"/>
        <v>0</v>
      </c>
      <c r="O41" s="34">
        <f t="shared" si="23"/>
        <v>0</v>
      </c>
      <c r="P41" s="35">
        <f t="shared" si="24"/>
        <v>0</v>
      </c>
      <c r="Q41" s="36">
        <f t="shared" si="25"/>
        <v>0</v>
      </c>
      <c r="R41" s="37">
        <f t="shared" si="26"/>
        <v>0</v>
      </c>
      <c r="S41" s="35">
        <f t="shared" si="27"/>
        <v>0</v>
      </c>
      <c r="T41" s="36">
        <f t="shared" si="28"/>
        <v>0</v>
      </c>
      <c r="U41" s="37">
        <f t="shared" si="29"/>
        <v>0</v>
      </c>
      <c r="V41" s="36">
        <f t="shared" si="30"/>
        <v>0</v>
      </c>
      <c r="W41" s="42">
        <f t="shared" si="31"/>
        <v>45658</v>
      </c>
      <c r="X41" s="43">
        <f t="shared" si="32"/>
        <v>0</v>
      </c>
      <c r="Y41" s="44">
        <f>IF(W41=0,0,ROUND((VLOOKUP(YEAR(EDATE(W41,-2)),CPI!$A:$M,MONTH(EDATE(W41,-2))+1,FALSE)*(DAY(W41)-1)+VLOOKUP(YEAR(EDATE(W41,-3)),CPI!$A:$M,MONTH(EDATE(W41,-3))+1,FALSE)*(DAY(EOMONTH(W41,0))-DAY(W41)+1))/DAY(EOMONTH(W41,0)),5))</f>
        <v>315.66399999999999</v>
      </c>
      <c r="Z41" s="44">
        <f>IF(X41=0,0,ROUND((VLOOKUP(YEAR(EDATE(X41,-2)),CPI!$A:$M,MONTH(EDATE(X41,-2))+1,FALSE)*(DAY(X41)-1)+VLOOKUP(YEAR(EDATE(X41,-3)),CPI!$A:$M,MONTH(EDATE(X41,-3))+1,FALSE)*(DAY(EOMONTH(X41,0))-DAY(X41)+1))/DAY(EOMONTH(X41,0)),5))</f>
        <v>0</v>
      </c>
      <c r="AA41" s="44">
        <f>ROUND((VLOOKUP(YEAR(EDATE(F41,-2)),CPI!$A:$M,MONTH(EDATE(F41,-2))+1,FALSE)*(DAY(F41)-1)+VLOOKUP(YEAR(EDATE(F41,-3)),CPI!$A:$M,MONTH(EDATE(F41,-3))+1,FALSE)*(DAY(EOMONTH(F41,0))-DAY(F41)+1))/DAY(EOMONTH(F41,0)),5)</f>
        <v>226.23616000000001</v>
      </c>
      <c r="AB41" s="45">
        <f>IF(G41&lt;D$1,E$1,IF(G41&gt;D$2,E$2,ROUND((VLOOKUP(YEAR(EDATE(G41,-2)),CPI!$A:$M,MONTH(EDATE(G41,-2))+1,FALSE)*(DAY(G41)-1)+VLOOKUP(YEAR(EDATE(G41,-3)),CPI!$A:$M,MONTH(EDATE(G41,-3))+1,FALSE)*(DAY(EOMONTH(G41,0))-DAY(G41)+1))/DAY(EOMONTH(G41,0)),5)))</f>
        <v>277.20274000000001</v>
      </c>
      <c r="AC41" s="60" t="str">
        <f t="shared" si="15"/>
        <v/>
      </c>
      <c r="AD41" s="46">
        <f t="shared" si="6"/>
        <v>0</v>
      </c>
      <c r="AE41" s="76">
        <f t="shared" si="16"/>
        <v>225.19</v>
      </c>
      <c r="AF41" s="71">
        <f t="shared" si="36"/>
        <v>0</v>
      </c>
      <c r="AG41" s="71">
        <f t="shared" si="18"/>
        <v>0</v>
      </c>
      <c r="AH41" s="87">
        <f t="shared" si="19"/>
        <v>0</v>
      </c>
      <c r="AI41" s="115">
        <f t="shared" si="37"/>
        <v>0</v>
      </c>
      <c r="AJ41" s="36">
        <f t="shared" si="20"/>
        <v>0</v>
      </c>
      <c r="AK41" s="37">
        <f t="shared" si="21"/>
        <v>0</v>
      </c>
      <c r="AN41" s="8">
        <v>40923</v>
      </c>
      <c r="AO41" s="4" t="b">
        <f t="shared" si="22"/>
        <v>1</v>
      </c>
    </row>
    <row r="42" spans="1:41" x14ac:dyDescent="0.3">
      <c r="A42" s="29">
        <v>0.125</v>
      </c>
      <c r="B42" s="7">
        <v>5</v>
      </c>
      <c r="C42" s="8">
        <v>44666</v>
      </c>
      <c r="D42" s="149">
        <f t="shared" si="8"/>
        <v>42840</v>
      </c>
      <c r="E42" s="150">
        <f>ROUND((VLOOKUP(YEAR(EDATE(D42,-2)),CPI!$A:$M,MONTH(EDATE(D42,-2))+1,FALSE)*(DAY(D42)-1)+VLOOKUP(YEAR(EDATE(D42,-3)),CPI!$A:$M,MONTH(EDATE(D42,-3))+1,FALSE)*(DAY(EOMONTH(D42,0))-DAY(D42)+1))/DAY(EOMONTH(D42,0)),5)</f>
        <v>243.19552999999999</v>
      </c>
      <c r="F42" s="30">
        <v>42853</v>
      </c>
      <c r="G42" s="31">
        <v>44666</v>
      </c>
      <c r="H42" s="32">
        <v>1000</v>
      </c>
      <c r="I42" s="33">
        <f t="shared" si="34"/>
        <v>0</v>
      </c>
      <c r="J42" s="33">
        <f t="shared" si="34"/>
        <v>0</v>
      </c>
      <c r="K42" s="33">
        <f t="shared" si="34"/>
        <v>0</v>
      </c>
      <c r="L42" s="29">
        <f t="shared" si="34"/>
        <v>0</v>
      </c>
      <c r="M42" s="33">
        <f t="shared" si="34"/>
        <v>0</v>
      </c>
      <c r="N42" s="34">
        <f t="shared" si="34"/>
        <v>0</v>
      </c>
      <c r="O42" s="34">
        <f>SUM(I42:N42)</f>
        <v>0</v>
      </c>
      <c r="P42" s="35">
        <f t="shared" ref="P42" si="38">ROUND(ROUND(P$1/$E42,5)*I42,2)</f>
        <v>0</v>
      </c>
      <c r="Q42" s="36">
        <f t="shared" ref="Q42" si="39">ROUND(ROUND(Q$1/$E42,5)*J42,2)</f>
        <v>0</v>
      </c>
      <c r="R42" s="37">
        <f t="shared" ref="R42" si="40">ROUND(ROUND(R$1/$E42,5)*K42,2)</f>
        <v>0</v>
      </c>
      <c r="S42" s="35">
        <f t="shared" ref="S42" si="41">ROUND(ROUND(S$1/$E42,5)*L42,2)</f>
        <v>0</v>
      </c>
      <c r="T42" s="36">
        <f t="shared" ref="T42" si="42">ROUND(ROUND(T$1/$E42,5)*M42,2)</f>
        <v>0</v>
      </c>
      <c r="U42" s="37">
        <f t="shared" ref="U42" si="43">ROUND(ROUND(U$1/$E42,5)*N42,2)</f>
        <v>0</v>
      </c>
      <c r="V42" s="36">
        <f>SUM(P42:U42)</f>
        <v>0</v>
      </c>
      <c r="W42" s="42">
        <f>IF(F42&lt;$X$1,MAX(F42,$W$1),0)</f>
        <v>45658</v>
      </c>
      <c r="X42" s="43">
        <f>IF(G42&gt;$W$1,MIN(G42,$X$1),0)</f>
        <v>0</v>
      </c>
      <c r="Y42" s="44">
        <f>IF(W42=0,0,ROUND((VLOOKUP(YEAR(EDATE(W42,-2)),CPI!$A:$M,MONTH(EDATE(W42,-2))+1,FALSE)*(DAY(W42)-1)+VLOOKUP(YEAR(EDATE(W42,-3)),CPI!$A:$M,MONTH(EDATE(W42,-3))+1,FALSE)*(DAY(EOMONTH(W42,0))-DAY(W42)+1))/DAY(EOMONTH(W42,0)),5))</f>
        <v>315.66399999999999</v>
      </c>
      <c r="Z42" s="44">
        <f>IF(X42=0,0,ROUND((VLOOKUP(YEAR(EDATE(X42,-2)),CPI!$A:$M,MONTH(EDATE(X42,-2))+1,FALSE)*(DAY(X42)-1)+VLOOKUP(YEAR(EDATE(X42,-3)),CPI!$A:$M,MONTH(EDATE(X42,-3))+1,FALSE)*(DAY(EOMONTH(X42,0))-DAY(X42)+1))/DAY(EOMONTH(X42,0)),5))</f>
        <v>0</v>
      </c>
      <c r="AA42" s="44">
        <f>ROUND((VLOOKUP(YEAR(EDATE(F42,-2)),CPI!$A:$M,MONTH(EDATE(F42,-2))+1,FALSE)*(DAY(F42)-1)+VLOOKUP(YEAR(EDATE(F42,-3)),CPI!$A:$M,MONTH(EDATE(F42,-3))+1,FALSE)*(DAY(EOMONTH(F42,0))-DAY(F42)+1))/DAY(EOMONTH(F42,0)),5)</f>
        <v>243.5266</v>
      </c>
      <c r="AB42" s="45">
        <f>IF(G42&lt;D$1,E$1,IF(G42&gt;D$2,E$2,ROUND((VLOOKUP(YEAR(EDATE(G42,-2)),CPI!$A:$M,MONTH(EDATE(G42,-2))+1,FALSE)*(DAY(G42)-1)+VLOOKUP(YEAR(EDATE(G42,-3)),CPI!$A:$M,MONTH(EDATE(G42,-3))+1,FALSE)*(DAY(EOMONTH(G42,0))-DAY(G42)+1))/DAY(EOMONTH(G42,0)),5)))</f>
        <v>282.34640000000002</v>
      </c>
      <c r="AC42" s="60" t="str">
        <f t="shared" si="15"/>
        <v/>
      </c>
      <c r="AD42" s="46">
        <f t="shared" si="6"/>
        <v>0</v>
      </c>
      <c r="AE42" s="76">
        <f t="shared" si="16"/>
        <v>159.62999999999994</v>
      </c>
      <c r="AF42" s="71">
        <f t="shared" si="36"/>
        <v>0</v>
      </c>
      <c r="AG42" s="71">
        <f t="shared" si="18"/>
        <v>0</v>
      </c>
      <c r="AH42" s="87">
        <f t="shared" si="19"/>
        <v>0</v>
      </c>
      <c r="AI42" s="115">
        <f t="shared" si="37"/>
        <v>0</v>
      </c>
      <c r="AJ42" s="36">
        <f t="shared" si="20"/>
        <v>0</v>
      </c>
      <c r="AK42" s="37">
        <f t="shared" si="21"/>
        <v>0</v>
      </c>
      <c r="AN42" s="8">
        <v>42840</v>
      </c>
      <c r="AO42" s="4" t="b">
        <f t="shared" si="22"/>
        <v>1</v>
      </c>
    </row>
    <row r="43" spans="1:41" x14ac:dyDescent="0.3">
      <c r="A43" s="29">
        <v>0.125</v>
      </c>
      <c r="B43" s="7">
        <v>10</v>
      </c>
      <c r="C43" s="8">
        <v>44757</v>
      </c>
      <c r="D43" s="149">
        <f t="shared" si="8"/>
        <v>41105</v>
      </c>
      <c r="E43" s="150">
        <f>ROUND((VLOOKUP(YEAR(EDATE(D43,-2)),CPI!$A:$M,MONTH(EDATE(D43,-2))+1,FALSE)*(DAY(D43)-1)+VLOOKUP(YEAR(EDATE(D43,-3)),CPI!$A:$M,MONTH(EDATE(D43,-3))+1,FALSE)*(DAY(EOMONTH(D43,0))-DAY(D43)+1))/DAY(EOMONTH(D43,0)),5)</f>
        <v>229.96306000000001</v>
      </c>
      <c r="F43" s="30">
        <v>41121</v>
      </c>
      <c r="G43" s="31">
        <v>44757</v>
      </c>
      <c r="H43" s="32">
        <v>1000</v>
      </c>
      <c r="I43" s="33">
        <f t="shared" si="34"/>
        <v>0</v>
      </c>
      <c r="J43" s="33">
        <f t="shared" si="34"/>
        <v>0</v>
      </c>
      <c r="K43" s="33">
        <f t="shared" si="34"/>
        <v>0</v>
      </c>
      <c r="L43" s="29">
        <f t="shared" si="34"/>
        <v>0</v>
      </c>
      <c r="M43" s="33">
        <f t="shared" si="34"/>
        <v>0</v>
      </c>
      <c r="N43" s="34">
        <f t="shared" si="34"/>
        <v>0</v>
      </c>
      <c r="O43" s="34">
        <f t="shared" si="23"/>
        <v>0</v>
      </c>
      <c r="P43" s="35">
        <f t="shared" si="24"/>
        <v>0</v>
      </c>
      <c r="Q43" s="36">
        <f t="shared" si="25"/>
        <v>0</v>
      </c>
      <c r="R43" s="37">
        <f t="shared" si="26"/>
        <v>0</v>
      </c>
      <c r="S43" s="35">
        <f t="shared" si="27"/>
        <v>0</v>
      </c>
      <c r="T43" s="36">
        <f t="shared" si="28"/>
        <v>0</v>
      </c>
      <c r="U43" s="37">
        <f t="shared" si="29"/>
        <v>0</v>
      </c>
      <c r="V43" s="36">
        <f t="shared" si="30"/>
        <v>0</v>
      </c>
      <c r="W43" s="42">
        <f t="shared" si="31"/>
        <v>45658</v>
      </c>
      <c r="X43" s="43">
        <f t="shared" si="32"/>
        <v>0</v>
      </c>
      <c r="Y43" s="44">
        <f>IF(W43=0,0,ROUND((VLOOKUP(YEAR(EDATE(W43,-2)),CPI!$A:$M,MONTH(EDATE(W43,-2))+1,FALSE)*(DAY(W43)-1)+VLOOKUP(YEAR(EDATE(W43,-3)),CPI!$A:$M,MONTH(EDATE(W43,-3))+1,FALSE)*(DAY(EOMONTH(W43,0))-DAY(W43)+1))/DAY(EOMONTH(W43,0)),5))</f>
        <v>315.66399999999999</v>
      </c>
      <c r="Z43" s="44">
        <f>IF(X43=0,0,ROUND((VLOOKUP(YEAR(EDATE(X43,-2)),CPI!$A:$M,MONTH(EDATE(X43,-2))+1,FALSE)*(DAY(X43)-1)+VLOOKUP(YEAR(EDATE(X43,-3)),CPI!$A:$M,MONTH(EDATE(X43,-3))+1,FALSE)*(DAY(EOMONTH(X43,0))-DAY(X43)+1))/DAY(EOMONTH(X43,0)),5))</f>
        <v>0</v>
      </c>
      <c r="AA43" s="44">
        <f>ROUND((VLOOKUP(YEAR(EDATE(F43,-2)),CPI!$A:$M,MONTH(EDATE(F43,-2))+1,FALSE)*(DAY(F43)-1)+VLOOKUP(YEAR(EDATE(F43,-3)),CPI!$A:$M,MONTH(EDATE(F43,-3))+1,FALSE)*(DAY(EOMONTH(F43,0))-DAY(F43)+1))/DAY(EOMONTH(F43,0)),5)</f>
        <v>229.82371000000001</v>
      </c>
      <c r="AB43" s="45">
        <f>IF(G43&lt;D$1,E$1,IF(G43&gt;D$2,E$2,ROUND((VLOOKUP(YEAR(EDATE(G43,-2)),CPI!$A:$M,MONTH(EDATE(G43,-2))+1,FALSE)*(DAY(G43)-1)+VLOOKUP(YEAR(EDATE(G43,-3)),CPI!$A:$M,MONTH(EDATE(G43,-3))+1,FALSE)*(DAY(EOMONTH(G43,0))-DAY(G43)+1))/DAY(EOMONTH(G43,0)),5)))</f>
        <v>290.54829000000001</v>
      </c>
      <c r="AC43" s="60" t="str">
        <f t="shared" si="15"/>
        <v/>
      </c>
      <c r="AD43" s="46">
        <f t="shared" si="6"/>
        <v>0</v>
      </c>
      <c r="AE43" s="76">
        <f t="shared" si="16"/>
        <v>264.07000000000005</v>
      </c>
      <c r="AF43" s="71">
        <f t="shared" si="36"/>
        <v>0</v>
      </c>
      <c r="AG43" s="71">
        <f t="shared" si="18"/>
        <v>0</v>
      </c>
      <c r="AH43" s="87">
        <f t="shared" si="19"/>
        <v>0</v>
      </c>
      <c r="AI43" s="115">
        <f t="shared" si="37"/>
        <v>0</v>
      </c>
      <c r="AJ43" s="36">
        <f t="shared" si="20"/>
        <v>0</v>
      </c>
      <c r="AK43" s="37">
        <f t="shared" si="21"/>
        <v>0</v>
      </c>
      <c r="AN43" s="8">
        <v>41105</v>
      </c>
      <c r="AO43" s="4" t="b">
        <f t="shared" si="22"/>
        <v>1</v>
      </c>
    </row>
    <row r="44" spans="1:41" x14ac:dyDescent="0.3">
      <c r="A44" s="29">
        <v>0.125</v>
      </c>
      <c r="B44" s="7">
        <v>10</v>
      </c>
      <c r="C44" s="8">
        <v>44941</v>
      </c>
      <c r="D44" s="149">
        <f t="shared" si="8"/>
        <v>41289</v>
      </c>
      <c r="E44" s="150">
        <f>ROUND((VLOOKUP(YEAR(EDATE(D44,-2)),CPI!$A:$M,MONTH(EDATE(D44,-2))+1,FALSE)*(DAY(D44)-1)+VLOOKUP(YEAR(EDATE(D44,-3)),CPI!$A:$M,MONTH(EDATE(D44,-3))+1,FALSE)*(DAY(EOMONTH(D44,0))-DAY(D44)+1))/DAY(EOMONTH(D44,0)),5)</f>
        <v>230.82203000000001</v>
      </c>
      <c r="F44" s="30">
        <v>41305</v>
      </c>
      <c r="G44" s="31">
        <v>44941</v>
      </c>
      <c r="H44" s="32">
        <v>1000</v>
      </c>
      <c r="I44" s="33">
        <f t="shared" si="34"/>
        <v>0</v>
      </c>
      <c r="J44" s="33">
        <f t="shared" si="34"/>
        <v>0</v>
      </c>
      <c r="K44" s="33">
        <f t="shared" si="34"/>
        <v>0</v>
      </c>
      <c r="L44" s="29">
        <f t="shared" si="34"/>
        <v>0</v>
      </c>
      <c r="M44" s="33">
        <f t="shared" si="34"/>
        <v>0</v>
      </c>
      <c r="N44" s="34">
        <f t="shared" si="34"/>
        <v>0</v>
      </c>
      <c r="O44" s="34">
        <f t="shared" si="23"/>
        <v>0</v>
      </c>
      <c r="P44" s="35">
        <f t="shared" si="24"/>
        <v>0</v>
      </c>
      <c r="Q44" s="36">
        <f t="shared" si="25"/>
        <v>0</v>
      </c>
      <c r="R44" s="37">
        <f t="shared" si="26"/>
        <v>0</v>
      </c>
      <c r="S44" s="35">
        <f t="shared" si="27"/>
        <v>0</v>
      </c>
      <c r="T44" s="36">
        <f t="shared" si="28"/>
        <v>0</v>
      </c>
      <c r="U44" s="37">
        <f t="shared" si="29"/>
        <v>0</v>
      </c>
      <c r="V44" s="36">
        <f t="shared" si="30"/>
        <v>0</v>
      </c>
      <c r="W44" s="42">
        <f t="shared" si="31"/>
        <v>45658</v>
      </c>
      <c r="X44" s="43">
        <f t="shared" si="32"/>
        <v>0</v>
      </c>
      <c r="Y44" s="44">
        <f>IF(W44=0,0,ROUND((VLOOKUP(YEAR(EDATE(W44,-2)),CPI!$A:$M,MONTH(EDATE(W44,-2))+1,FALSE)*(DAY(W44)-1)+VLOOKUP(YEAR(EDATE(W44,-3)),CPI!$A:$M,MONTH(EDATE(W44,-3))+1,FALSE)*(DAY(EOMONTH(W44,0))-DAY(W44)+1))/DAY(EOMONTH(W44,0)),5))</f>
        <v>315.66399999999999</v>
      </c>
      <c r="Z44" s="44">
        <f>IF(X44=0,0,ROUND((VLOOKUP(YEAR(EDATE(X44,-2)),CPI!$A:$M,MONTH(EDATE(X44,-2))+1,FALSE)*(DAY(X44)-1)+VLOOKUP(YEAR(EDATE(X44,-3)),CPI!$A:$M,MONTH(EDATE(X44,-3))+1,FALSE)*(DAY(EOMONTH(X44,0))-DAY(X44)+1))/DAY(EOMONTH(X44,0)),5))</f>
        <v>0</v>
      </c>
      <c r="AA44" s="44">
        <f>ROUND((VLOOKUP(YEAR(EDATE(F44,-2)),CPI!$A:$M,MONTH(EDATE(F44,-2))+1,FALSE)*(DAY(F44)-1)+VLOOKUP(YEAR(EDATE(F44,-3)),CPI!$A:$M,MONTH(EDATE(F44,-3))+1,FALSE)*(DAY(EOMONTH(F44,0))-DAY(F44)+1))/DAY(EOMONTH(F44,0)),5)</f>
        <v>230.25635</v>
      </c>
      <c r="AB44" s="45">
        <f>IF(G44&lt;D$1,E$1,IF(G44&gt;D$2,E$2,ROUND((VLOOKUP(YEAR(EDATE(G44,-2)),CPI!$A:$M,MONTH(EDATE(G44,-2))+1,FALSE)*(DAY(G44)-1)+VLOOKUP(YEAR(EDATE(G44,-3)),CPI!$A:$M,MONTH(EDATE(G44,-3))+1,FALSE)*(DAY(EOMONTH(G44,0))-DAY(G44)+1))/DAY(EOMONTH(G44,0)),5)))</f>
        <v>297.87606</v>
      </c>
      <c r="AC44" s="60" t="str">
        <f t="shared" si="15"/>
        <v/>
      </c>
      <c r="AD44" s="46">
        <f t="shared" si="6"/>
        <v>0</v>
      </c>
      <c r="AE44" s="76">
        <f t="shared" si="16"/>
        <v>292.94999999999993</v>
      </c>
      <c r="AF44" s="71">
        <f t="shared" si="36"/>
        <v>0</v>
      </c>
      <c r="AG44" s="71">
        <f t="shared" si="18"/>
        <v>0</v>
      </c>
      <c r="AH44" s="87">
        <f t="shared" si="19"/>
        <v>0</v>
      </c>
      <c r="AI44" s="115">
        <f t="shared" si="37"/>
        <v>0</v>
      </c>
      <c r="AJ44" s="36">
        <f t="shared" si="20"/>
        <v>0</v>
      </c>
      <c r="AK44" s="37">
        <f t="shared" si="21"/>
        <v>0</v>
      </c>
      <c r="AN44" s="8">
        <v>41289</v>
      </c>
      <c r="AO44" s="4" t="b">
        <f t="shared" si="22"/>
        <v>1</v>
      </c>
    </row>
    <row r="45" spans="1:41" x14ac:dyDescent="0.3">
      <c r="A45" s="29">
        <v>0.625</v>
      </c>
      <c r="B45" s="7">
        <v>5</v>
      </c>
      <c r="C45" s="8">
        <v>45031</v>
      </c>
      <c r="D45" s="149">
        <f t="shared" si="8"/>
        <v>43205</v>
      </c>
      <c r="E45" s="150">
        <f>ROUND((VLOOKUP(YEAR(EDATE(D45,-2)),CPI!$A:$M,MONTH(EDATE(D45,-2))+1,FALSE)*(DAY(D45)-1)+VLOOKUP(YEAR(EDATE(D45,-3)),CPI!$A:$M,MONTH(EDATE(D45,-3))+1,FALSE)*(DAY(EOMONTH(D45,0))-DAY(D45)+1))/DAY(EOMONTH(D45,0)),5)</f>
        <v>248.39152999999999</v>
      </c>
      <c r="F45" s="30">
        <v>43220</v>
      </c>
      <c r="G45" s="31">
        <v>45031</v>
      </c>
      <c r="H45" s="32">
        <v>1000</v>
      </c>
      <c r="I45" s="33">
        <f t="shared" si="34"/>
        <v>0</v>
      </c>
      <c r="J45" s="33">
        <f t="shared" si="34"/>
        <v>0</v>
      </c>
      <c r="K45" s="33">
        <f t="shared" si="34"/>
        <v>0</v>
      </c>
      <c r="L45" s="29">
        <f t="shared" si="34"/>
        <v>0</v>
      </c>
      <c r="M45" s="33">
        <f t="shared" si="34"/>
        <v>0</v>
      </c>
      <c r="N45" s="34">
        <f t="shared" si="34"/>
        <v>0</v>
      </c>
      <c r="O45" s="34">
        <f>SUM(I45:N45)</f>
        <v>0</v>
      </c>
      <c r="P45" s="35">
        <f t="shared" si="24"/>
        <v>0</v>
      </c>
      <c r="Q45" s="36">
        <f t="shared" si="25"/>
        <v>0</v>
      </c>
      <c r="R45" s="37">
        <f t="shared" si="26"/>
        <v>0</v>
      </c>
      <c r="S45" s="35">
        <f t="shared" si="27"/>
        <v>0</v>
      </c>
      <c r="T45" s="36">
        <f t="shared" si="28"/>
        <v>0</v>
      </c>
      <c r="U45" s="37">
        <f t="shared" si="29"/>
        <v>0</v>
      </c>
      <c r="V45" s="36">
        <f>SUM(P45:U45)</f>
        <v>0</v>
      </c>
      <c r="W45" s="42">
        <f>IF(F45&lt;$X$1,MAX(F45,$W$1),0)</f>
        <v>45658</v>
      </c>
      <c r="X45" s="43">
        <f>IF(G45&gt;$W$1,MIN(G45,$X$1),0)</f>
        <v>0</v>
      </c>
      <c r="Y45" s="44">
        <f>IF(W45=0,0,ROUND((VLOOKUP(YEAR(EDATE(W45,-2)),CPI!$A:$M,MONTH(EDATE(W45,-2))+1,FALSE)*(DAY(W45)-1)+VLOOKUP(YEAR(EDATE(W45,-3)),CPI!$A:$M,MONTH(EDATE(W45,-3))+1,FALSE)*(DAY(EOMONTH(W45,0))-DAY(W45)+1))/DAY(EOMONTH(W45,0)),5))</f>
        <v>315.66399999999999</v>
      </c>
      <c r="Z45" s="44">
        <f>IF(X45=0,0,ROUND((VLOOKUP(YEAR(EDATE(X45,-2)),CPI!$A:$M,MONTH(EDATE(X45,-2))+1,FALSE)*(DAY(X45)-1)+VLOOKUP(YEAR(EDATE(X45,-3)),CPI!$A:$M,MONTH(EDATE(X45,-3))+1,FALSE)*(DAY(EOMONTH(X45,0))-DAY(X45)+1))/DAY(EOMONTH(X45,0)),5))</f>
        <v>0</v>
      </c>
      <c r="AA45" s="44">
        <f>ROUND((VLOOKUP(YEAR(EDATE(F45,-2)),CPI!$A:$M,MONTH(EDATE(F45,-2))+1,FALSE)*(DAY(F45)-1)+VLOOKUP(YEAR(EDATE(F45,-3)),CPI!$A:$M,MONTH(EDATE(F45,-3))+1,FALSE)*(DAY(EOMONTH(F45,0))-DAY(F45)+1))/DAY(EOMONTH(F45,0)),5)</f>
        <v>248.95353</v>
      </c>
      <c r="AB45" s="45">
        <f>IF(G45&lt;D$1,E$1,IF(G45&gt;D$2,E$2,ROUND((VLOOKUP(YEAR(EDATE(G45,-2)),CPI!$A:$M,MONTH(EDATE(G45,-2))+1,FALSE)*(DAY(G45)-1)+VLOOKUP(YEAR(EDATE(G45,-3)),CPI!$A:$M,MONTH(EDATE(G45,-3))+1,FALSE)*(DAY(EOMONTH(G45,0))-DAY(G45)+1))/DAY(EOMONTH(G45,0)),5)))</f>
        <v>299.94932999999997</v>
      </c>
      <c r="AC45" s="60" t="str">
        <f t="shared" si="15"/>
        <v/>
      </c>
      <c r="AD45" s="46">
        <f t="shared" si="6"/>
        <v>0</v>
      </c>
      <c r="AE45" s="76">
        <f t="shared" si="16"/>
        <v>205.31000000000012</v>
      </c>
      <c r="AF45" s="71">
        <f t="shared" si="36"/>
        <v>0</v>
      </c>
      <c r="AG45" s="71">
        <f t="shared" si="18"/>
        <v>0</v>
      </c>
      <c r="AH45" s="87">
        <f t="shared" si="19"/>
        <v>0</v>
      </c>
      <c r="AI45" s="115">
        <f t="shared" si="37"/>
        <v>0</v>
      </c>
      <c r="AJ45" s="36">
        <f t="shared" si="20"/>
        <v>0</v>
      </c>
      <c r="AK45" s="37">
        <f t="shared" si="21"/>
        <v>0</v>
      </c>
      <c r="AN45" s="8">
        <v>43205</v>
      </c>
      <c r="AO45" s="4" t="b">
        <f t="shared" si="22"/>
        <v>1</v>
      </c>
    </row>
    <row r="46" spans="1:41" x14ac:dyDescent="0.3">
      <c r="A46" s="29">
        <v>0.375</v>
      </c>
      <c r="B46" s="7">
        <v>10</v>
      </c>
      <c r="C46" s="8">
        <v>45122</v>
      </c>
      <c r="D46" s="149">
        <f t="shared" si="8"/>
        <v>41470</v>
      </c>
      <c r="E46" s="150">
        <f>ROUND((VLOOKUP(YEAR(EDATE(D46,-2)),CPI!$A:$M,MONTH(EDATE(D46,-2))+1,FALSE)*(DAY(D46)-1)+VLOOKUP(YEAR(EDATE(D46,-3)),CPI!$A:$M,MONTH(EDATE(D46,-3))+1,FALSE)*(DAY(EOMONTH(D46,0))-DAY(D46)+1))/DAY(EOMONTH(D46,0)),5)</f>
        <v>232.71797000000001</v>
      </c>
      <c r="F46" s="30">
        <v>41486</v>
      </c>
      <c r="G46" s="31">
        <v>45122</v>
      </c>
      <c r="H46" s="32">
        <v>1000</v>
      </c>
      <c r="I46" s="33">
        <f t="shared" si="34"/>
        <v>0</v>
      </c>
      <c r="J46" s="33">
        <f t="shared" si="34"/>
        <v>0</v>
      </c>
      <c r="K46" s="33">
        <f t="shared" si="34"/>
        <v>0</v>
      </c>
      <c r="L46" s="29">
        <f t="shared" si="34"/>
        <v>0</v>
      </c>
      <c r="M46" s="33">
        <f t="shared" si="34"/>
        <v>0</v>
      </c>
      <c r="N46" s="34">
        <f t="shared" si="34"/>
        <v>0</v>
      </c>
      <c r="O46" s="34">
        <f t="shared" si="23"/>
        <v>0</v>
      </c>
      <c r="P46" s="35">
        <f t="shared" si="24"/>
        <v>0</v>
      </c>
      <c r="Q46" s="36">
        <f t="shared" si="25"/>
        <v>0</v>
      </c>
      <c r="R46" s="37">
        <f t="shared" si="26"/>
        <v>0</v>
      </c>
      <c r="S46" s="35">
        <f t="shared" si="27"/>
        <v>0</v>
      </c>
      <c r="T46" s="36">
        <f t="shared" si="28"/>
        <v>0</v>
      </c>
      <c r="U46" s="37">
        <f t="shared" si="29"/>
        <v>0</v>
      </c>
      <c r="V46" s="36">
        <f t="shared" si="30"/>
        <v>0</v>
      </c>
      <c r="W46" s="42">
        <f t="shared" si="31"/>
        <v>45658</v>
      </c>
      <c r="X46" s="43">
        <f t="shared" si="32"/>
        <v>0</v>
      </c>
      <c r="Y46" s="44">
        <f>IF(W46=0,0,ROUND((VLOOKUP(YEAR(EDATE(W46,-2)),CPI!$A:$M,MONTH(EDATE(W46,-2))+1,FALSE)*(DAY(W46)-1)+VLOOKUP(YEAR(EDATE(W46,-3)),CPI!$A:$M,MONTH(EDATE(W46,-3))+1,FALSE)*(DAY(EOMONTH(W46,0))-DAY(W46)+1))/DAY(EOMONTH(W46,0)),5))</f>
        <v>315.66399999999999</v>
      </c>
      <c r="Z46" s="44">
        <f>IF(X46=0,0,ROUND((VLOOKUP(YEAR(EDATE(X46,-2)),CPI!$A:$M,MONTH(EDATE(X46,-2))+1,FALSE)*(DAY(X46)-1)+VLOOKUP(YEAR(EDATE(X46,-3)),CPI!$A:$M,MONTH(EDATE(X46,-3))+1,FALSE)*(DAY(EOMONTH(X46,0))-DAY(X46)+1))/DAY(EOMONTH(X46,0)),5))</f>
        <v>0</v>
      </c>
      <c r="AA46" s="44">
        <f>ROUND((VLOOKUP(YEAR(EDATE(F46,-2)),CPI!$A:$M,MONTH(EDATE(F46,-2))+1,FALSE)*(DAY(F46)-1)+VLOOKUP(YEAR(EDATE(F46,-3)),CPI!$A:$M,MONTH(EDATE(F46,-3))+1,FALSE)*(DAY(EOMONTH(F46,0))-DAY(F46)+1))/DAY(EOMONTH(F46,0)),5)</f>
        <v>232.93164999999999</v>
      </c>
      <c r="AB46" s="45">
        <f>IF(G46&lt;D$1,E$1,IF(G46&gt;D$2,E$2,ROUND((VLOOKUP(YEAR(EDATE(G46,-2)),CPI!$A:$M,MONTH(EDATE(G46,-2))+1,FALSE)*(DAY(G46)-1)+VLOOKUP(YEAR(EDATE(G46,-3)),CPI!$A:$M,MONTH(EDATE(G46,-3))+1,FALSE)*(DAY(EOMONTH(G46,0))-DAY(G46)+1))/DAY(EOMONTH(G46,0)),5)))</f>
        <v>303.70803000000001</v>
      </c>
      <c r="AC46" s="60" t="str">
        <f t="shared" si="15"/>
        <v/>
      </c>
      <c r="AD46" s="46">
        <f t="shared" si="6"/>
        <v>0</v>
      </c>
      <c r="AE46" s="76">
        <f t="shared" si="16"/>
        <v>304.13</v>
      </c>
      <c r="AF46" s="71">
        <f t="shared" si="36"/>
        <v>0</v>
      </c>
      <c r="AG46" s="71">
        <f t="shared" si="18"/>
        <v>0</v>
      </c>
      <c r="AH46" s="87">
        <f t="shared" si="19"/>
        <v>0</v>
      </c>
      <c r="AI46" s="115">
        <f t="shared" si="37"/>
        <v>0</v>
      </c>
      <c r="AJ46" s="36">
        <f t="shared" si="20"/>
        <v>0</v>
      </c>
      <c r="AK46" s="37">
        <f t="shared" si="21"/>
        <v>0</v>
      </c>
      <c r="AN46" s="8">
        <v>41470</v>
      </c>
      <c r="AO46" s="4" t="b">
        <f t="shared" si="22"/>
        <v>1</v>
      </c>
    </row>
    <row r="47" spans="1:41" x14ac:dyDescent="0.3">
      <c r="A47" s="29">
        <v>0.625</v>
      </c>
      <c r="B47" s="7">
        <v>10</v>
      </c>
      <c r="C47" s="8">
        <v>45306</v>
      </c>
      <c r="D47" s="149">
        <f t="shared" si="8"/>
        <v>41654</v>
      </c>
      <c r="E47" s="150">
        <f>ROUND((VLOOKUP(YEAR(EDATE(D47,-2)),CPI!$A:$M,MONTH(EDATE(D47,-2))+1,FALSE)*(DAY(D47)-1)+VLOOKUP(YEAR(EDATE(D47,-3)),CPI!$A:$M,MONTH(EDATE(D47,-3))+1,FALSE)*(DAY(EOMONTH(D47,0))-DAY(D47)+1))/DAY(EOMONTH(D47,0)),5)</f>
        <v>233.33058</v>
      </c>
      <c r="F47" s="30">
        <v>41670</v>
      </c>
      <c r="G47" s="31">
        <v>45306</v>
      </c>
      <c r="H47" s="32">
        <v>1000</v>
      </c>
      <c r="I47" s="33">
        <f t="shared" si="34"/>
        <v>0</v>
      </c>
      <c r="J47" s="33">
        <f t="shared" si="34"/>
        <v>0</v>
      </c>
      <c r="K47" s="33">
        <f t="shared" si="34"/>
        <v>0</v>
      </c>
      <c r="L47" s="29">
        <f t="shared" si="34"/>
        <v>0</v>
      </c>
      <c r="M47" s="33">
        <f t="shared" si="34"/>
        <v>0</v>
      </c>
      <c r="N47" s="34">
        <f t="shared" si="34"/>
        <v>0</v>
      </c>
      <c r="O47" s="34">
        <f t="shared" si="23"/>
        <v>0</v>
      </c>
      <c r="P47" s="35">
        <f t="shared" si="24"/>
        <v>0</v>
      </c>
      <c r="Q47" s="36">
        <f t="shared" si="25"/>
        <v>0</v>
      </c>
      <c r="R47" s="37">
        <f t="shared" si="26"/>
        <v>0</v>
      </c>
      <c r="S47" s="35">
        <f t="shared" si="27"/>
        <v>0</v>
      </c>
      <c r="T47" s="36">
        <f t="shared" si="28"/>
        <v>0</v>
      </c>
      <c r="U47" s="37">
        <f t="shared" si="29"/>
        <v>0</v>
      </c>
      <c r="V47" s="36">
        <f t="shared" si="30"/>
        <v>0</v>
      </c>
      <c r="W47" s="42">
        <f t="shared" si="31"/>
        <v>45658</v>
      </c>
      <c r="X47" s="43">
        <f>IF(G47&gt;$W$1,MIN(G47,$X$1),0)</f>
        <v>0</v>
      </c>
      <c r="Y47" s="44">
        <f>IF(W47=0,0,ROUND((VLOOKUP(YEAR(EDATE(W47,-2)),CPI!$A:$M,MONTH(EDATE(W47,-2))+1,FALSE)*(DAY(W47)-1)+VLOOKUP(YEAR(EDATE(W47,-3)),CPI!$A:$M,MONTH(EDATE(W47,-3))+1,FALSE)*(DAY(EOMONTH(W47,0))-DAY(W47)+1))/DAY(EOMONTH(W47,0)),5))</f>
        <v>315.66399999999999</v>
      </c>
      <c r="Z47" s="44">
        <f>IF(X47=0,0,ROUND((VLOOKUP(YEAR(EDATE(X47,-2)),CPI!$A:$M,MONTH(EDATE(X47,-2))+1,FALSE)*(DAY(X47)-1)+VLOOKUP(YEAR(EDATE(X47,-3)),CPI!$A:$M,MONTH(EDATE(X47,-3))+1,FALSE)*(DAY(EOMONTH(X47,0))-DAY(X47)+1))/DAY(EOMONTH(X47,0)),5))</f>
        <v>0</v>
      </c>
      <c r="AA47" s="44">
        <f>ROUND((VLOOKUP(YEAR(EDATE(F47,-2)),CPI!$A:$M,MONTH(EDATE(F47,-2))+1,FALSE)*(DAY(F47)-1)+VLOOKUP(YEAR(EDATE(F47,-3)),CPI!$A:$M,MONTH(EDATE(F47,-3))+1,FALSE)*(DAY(EOMONTH(F47,0))-DAY(F47)+1))/DAY(EOMONTH(F47,0)),5)</f>
        <v>233.08439000000001</v>
      </c>
      <c r="AB47" s="45">
        <f>IF(G47&lt;D$1,E$1,IF(G47&gt;D$2,E$2,ROUND((VLOOKUP(YEAR(EDATE(G47,-2)),CPI!$A:$M,MONTH(EDATE(G47,-2))+1,FALSE)*(DAY(G47)-1)+VLOOKUP(YEAR(EDATE(G47,-3)),CPI!$A:$M,MONTH(EDATE(G47,-3))+1,FALSE)*(DAY(EOMONTH(G47,0))-DAY(G47)+1))/DAY(EOMONTH(G47,0)),5)))</f>
        <v>307.39100000000002</v>
      </c>
      <c r="AC47" s="60" t="str">
        <f t="shared" si="15"/>
        <v/>
      </c>
      <c r="AD47" s="46">
        <f t="shared" si="6"/>
        <v>0</v>
      </c>
      <c r="AE47" s="76">
        <f t="shared" si="16"/>
        <v>318.46999999999991</v>
      </c>
      <c r="AF47" s="71">
        <f t="shared" si="36"/>
        <v>0</v>
      </c>
      <c r="AG47" s="71">
        <f t="shared" si="18"/>
        <v>0</v>
      </c>
      <c r="AH47" s="87">
        <f t="shared" si="19"/>
        <v>0</v>
      </c>
      <c r="AI47" s="115">
        <f t="shared" si="37"/>
        <v>0</v>
      </c>
      <c r="AJ47" s="36">
        <f t="shared" si="20"/>
        <v>0</v>
      </c>
      <c r="AK47" s="37">
        <f t="shared" si="21"/>
        <v>0</v>
      </c>
      <c r="AN47" s="8">
        <v>41654</v>
      </c>
      <c r="AO47" s="4" t="b">
        <f t="shared" si="22"/>
        <v>1</v>
      </c>
    </row>
    <row r="48" spans="1:41" x14ac:dyDescent="0.3">
      <c r="A48" s="29">
        <v>0.5</v>
      </c>
      <c r="B48" s="7">
        <v>5</v>
      </c>
      <c r="C48" s="8">
        <v>45397</v>
      </c>
      <c r="D48" s="149">
        <f t="shared" si="8"/>
        <v>43570</v>
      </c>
      <c r="E48" s="150">
        <f>ROUND((VLOOKUP(YEAR(EDATE(D48,-2)),CPI!$A:$M,MONTH(EDATE(D48,-2))+1,FALSE)*(DAY(D48)-1)+VLOOKUP(YEAR(EDATE(D48,-3)),CPI!$A:$M,MONTH(EDATE(D48,-3))+1,FALSE)*(DAY(EOMONTH(D48,0))-DAY(D48)+1))/DAY(EOMONTH(D48,0)),5)</f>
        <v>252.20853</v>
      </c>
      <c r="F48" s="30">
        <v>43585</v>
      </c>
      <c r="G48" s="31">
        <v>45397</v>
      </c>
      <c r="H48" s="32">
        <v>1000</v>
      </c>
      <c r="I48" s="33">
        <f t="shared" si="34"/>
        <v>0</v>
      </c>
      <c r="J48" s="33">
        <f t="shared" si="34"/>
        <v>0</v>
      </c>
      <c r="K48" s="33">
        <f t="shared" si="34"/>
        <v>0</v>
      </c>
      <c r="L48" s="29">
        <f t="shared" si="34"/>
        <v>0</v>
      </c>
      <c r="M48" s="33">
        <f t="shared" si="34"/>
        <v>0</v>
      </c>
      <c r="N48" s="34">
        <f t="shared" si="34"/>
        <v>0</v>
      </c>
      <c r="O48" s="34">
        <f>SUM(I48:N48)</f>
        <v>0</v>
      </c>
      <c r="P48" s="35">
        <f t="shared" ref="P48" si="44">ROUND(ROUND(P$1/$E48,5)*I48,2)</f>
        <v>0</v>
      </c>
      <c r="Q48" s="36">
        <f t="shared" ref="Q48" si="45">ROUND(ROUND(Q$1/$E48,5)*J48,2)</f>
        <v>0</v>
      </c>
      <c r="R48" s="37">
        <f t="shared" ref="R48" si="46">ROUND(ROUND(R$1/$E48,5)*K48,2)</f>
        <v>0</v>
      </c>
      <c r="S48" s="35">
        <f t="shared" ref="S48" si="47">ROUND(ROUND(S$1/$E48,5)*L48,2)</f>
        <v>0</v>
      </c>
      <c r="T48" s="36">
        <f t="shared" ref="T48" si="48">ROUND(ROUND(T$1/$E48,5)*M48,2)</f>
        <v>0</v>
      </c>
      <c r="U48" s="37">
        <f t="shared" ref="U48" si="49">ROUND(ROUND(U$1/$E48,5)*N48,2)</f>
        <v>0</v>
      </c>
      <c r="V48" s="36">
        <f>SUM(P48:U48)</f>
        <v>0</v>
      </c>
      <c r="W48" s="42">
        <f>IF(F48&lt;$X$1,MAX(F48,$W$1),0)</f>
        <v>45658</v>
      </c>
      <c r="X48" s="43">
        <f>IF(G48&gt;$W$1,MIN(G48,$X$1),0)</f>
        <v>0</v>
      </c>
      <c r="Y48" s="44">
        <f>IF(W48=0,0,ROUND((VLOOKUP(YEAR(EDATE(W48,-2)),CPI!$A:$M,MONTH(EDATE(W48,-2))+1,FALSE)*(DAY(W48)-1)+VLOOKUP(YEAR(EDATE(W48,-3)),CPI!$A:$M,MONTH(EDATE(W48,-3))+1,FALSE)*(DAY(EOMONTH(W48,0))-DAY(W48)+1))/DAY(EOMONTH(W48,0)),5))</f>
        <v>315.66399999999999</v>
      </c>
      <c r="Z48" s="44">
        <f>IF(X48=0,0,ROUND((VLOOKUP(YEAR(EDATE(X48,-2)),CPI!$A:$M,MONTH(EDATE(X48,-2))+1,FALSE)*(DAY(X48)-1)+VLOOKUP(YEAR(EDATE(X48,-3)),CPI!$A:$M,MONTH(EDATE(X48,-3))+1,FALSE)*(DAY(EOMONTH(X48,0))-DAY(X48)+1))/DAY(EOMONTH(X48,0)),5))</f>
        <v>0</v>
      </c>
      <c r="AA48" s="44">
        <f>ROUND((VLOOKUP(YEAR(EDATE(F48,-2)),CPI!$A:$M,MONTH(EDATE(F48,-2))+1,FALSE)*(DAY(F48)-1)+VLOOKUP(YEAR(EDATE(F48,-3)),CPI!$A:$M,MONTH(EDATE(F48,-3))+1,FALSE)*(DAY(EOMONTH(F48,0))-DAY(F48)+1))/DAY(EOMONTH(F48,0)),5)</f>
        <v>252.74053000000001</v>
      </c>
      <c r="AB48" s="45">
        <f>IF(G48&lt;D$1,E$1,IF(G48&gt;D$2,E$2,ROUND((VLOOKUP(YEAR(EDATE(G48,-2)),CPI!$A:$M,MONTH(EDATE(G48,-2))+1,FALSE)*(DAY(G48)-1)+VLOOKUP(YEAR(EDATE(G48,-3)),CPI!$A:$M,MONTH(EDATE(G48,-3))+1,FALSE)*(DAY(EOMONTH(G48,0))-DAY(G48)+1))/DAY(EOMONTH(G48,0)),5)))</f>
        <v>309.30786999999998</v>
      </c>
      <c r="AC48" s="60" t="str">
        <f t="shared" si="15"/>
        <v/>
      </c>
      <c r="AD48" s="46">
        <f t="shared" si="6"/>
        <v>0</v>
      </c>
      <c r="AE48" s="76">
        <f t="shared" si="16"/>
        <v>224.28999999999988</v>
      </c>
      <c r="AF48" s="71">
        <f t="shared" si="36"/>
        <v>0</v>
      </c>
      <c r="AG48" s="71">
        <f t="shared" si="18"/>
        <v>0</v>
      </c>
      <c r="AH48" s="87">
        <f t="shared" ref="AH48" si="50">AF48+AG48</f>
        <v>0</v>
      </c>
      <c r="AI48" s="115">
        <f t="shared" si="37"/>
        <v>0</v>
      </c>
      <c r="AJ48" s="36">
        <f t="shared" si="20"/>
        <v>0</v>
      </c>
      <c r="AK48" s="37">
        <f t="shared" si="21"/>
        <v>0</v>
      </c>
      <c r="AN48" s="8">
        <v>43570</v>
      </c>
      <c r="AO48" s="4" t="b">
        <f t="shared" si="22"/>
        <v>1</v>
      </c>
    </row>
    <row r="49" spans="1:41" x14ac:dyDescent="0.3">
      <c r="A49" s="29">
        <v>0.125</v>
      </c>
      <c r="B49" s="7">
        <v>10</v>
      </c>
      <c r="C49" s="8">
        <v>45488</v>
      </c>
      <c r="D49" s="149">
        <f t="shared" si="8"/>
        <v>41835</v>
      </c>
      <c r="E49" s="150">
        <f>ROUND((VLOOKUP(YEAR(EDATE(D49,-2)),CPI!$A:$M,MONTH(EDATE(D49,-2))+1,FALSE)*(DAY(D49)-1)+VLOOKUP(YEAR(EDATE(D49,-3)),CPI!$A:$M,MONTH(EDATE(D49,-3))+1,FALSE)*(DAY(EOMONTH(D49,0))-DAY(D49)+1))/DAY(EOMONTH(D49,0)),5)</f>
        <v>237.44594000000001</v>
      </c>
      <c r="F49" s="30">
        <v>41851</v>
      </c>
      <c r="G49" s="31">
        <v>45488</v>
      </c>
      <c r="H49" s="32">
        <v>1000</v>
      </c>
      <c r="I49" s="33">
        <f t="shared" si="34"/>
        <v>0</v>
      </c>
      <c r="J49" s="33">
        <f t="shared" si="34"/>
        <v>0</v>
      </c>
      <c r="K49" s="33">
        <f t="shared" si="34"/>
        <v>0</v>
      </c>
      <c r="L49" s="29">
        <f t="shared" si="34"/>
        <v>0</v>
      </c>
      <c r="M49" s="33">
        <f t="shared" si="34"/>
        <v>0</v>
      </c>
      <c r="N49" s="34">
        <f t="shared" si="34"/>
        <v>0</v>
      </c>
      <c r="O49" s="34">
        <f t="shared" si="23"/>
        <v>0</v>
      </c>
      <c r="P49" s="35">
        <f t="shared" si="24"/>
        <v>0</v>
      </c>
      <c r="Q49" s="36">
        <f t="shared" si="25"/>
        <v>0</v>
      </c>
      <c r="R49" s="37">
        <f t="shared" si="26"/>
        <v>0</v>
      </c>
      <c r="S49" s="35">
        <f t="shared" si="27"/>
        <v>0</v>
      </c>
      <c r="T49" s="36">
        <f t="shared" si="28"/>
        <v>0</v>
      </c>
      <c r="U49" s="37">
        <f t="shared" si="29"/>
        <v>0</v>
      </c>
      <c r="V49" s="36">
        <f t="shared" si="30"/>
        <v>0</v>
      </c>
      <c r="W49" s="42">
        <f t="shared" si="31"/>
        <v>45658</v>
      </c>
      <c r="X49" s="43">
        <f t="shared" si="32"/>
        <v>0</v>
      </c>
      <c r="Y49" s="44">
        <f>IF(W49=0,0,ROUND((VLOOKUP(YEAR(EDATE(W49,-2)),CPI!$A:$M,MONTH(EDATE(W49,-2))+1,FALSE)*(DAY(W49)-1)+VLOOKUP(YEAR(EDATE(W49,-3)),CPI!$A:$M,MONTH(EDATE(W49,-3))+1,FALSE)*(DAY(EOMONTH(W49,0))-DAY(W49)+1))/DAY(EOMONTH(W49,0)),5))</f>
        <v>315.66399999999999</v>
      </c>
      <c r="Z49" s="44">
        <f>IF(X49=0,0,ROUND((VLOOKUP(YEAR(EDATE(X49,-2)),CPI!$A:$M,MONTH(EDATE(X49,-2))+1,FALSE)*(DAY(X49)-1)+VLOOKUP(YEAR(EDATE(X49,-3)),CPI!$A:$M,MONTH(EDATE(X49,-3))+1,FALSE)*(DAY(EOMONTH(X49,0))-DAY(X49)+1))/DAY(EOMONTH(X49,0)),5))</f>
        <v>0</v>
      </c>
      <c r="AA49" s="44">
        <f>ROUND((VLOOKUP(YEAR(EDATE(F49,-2)),CPI!$A:$M,MONTH(EDATE(F49,-2))+1,FALSE)*(DAY(F49)-1)+VLOOKUP(YEAR(EDATE(F49,-3)),CPI!$A:$M,MONTH(EDATE(F49,-3))+1,FALSE)*(DAY(EOMONTH(F49,0))-DAY(F49)+1))/DAY(EOMONTH(F49,0)),5)</f>
        <v>237.87329</v>
      </c>
      <c r="AB49" s="45">
        <f>IF(G49&lt;D$1,E$1,IF(G49&gt;D$2,E$2,ROUND((VLOOKUP(YEAR(EDATE(G49,-2)),CPI!$A:$M,MONTH(EDATE(G49,-2))+1,FALSE)*(DAY(G49)-1)+VLOOKUP(YEAR(EDATE(G49,-3)),CPI!$A:$M,MONTH(EDATE(G49,-3))+1,FALSE)*(DAY(EOMONTH(G49,0))-DAY(G49)+1))/DAY(EOMONTH(G49,0)),5)))</f>
        <v>313.78329000000002</v>
      </c>
      <c r="AC49" s="60" t="str">
        <f t="shared" si="15"/>
        <v/>
      </c>
      <c r="AD49" s="46">
        <f t="shared" si="6"/>
        <v>0</v>
      </c>
      <c r="AE49" s="76">
        <f t="shared" si="16"/>
        <v>319.69000000000005</v>
      </c>
      <c r="AF49" s="71">
        <f t="shared" si="36"/>
        <v>0</v>
      </c>
      <c r="AG49" s="71">
        <f t="shared" si="18"/>
        <v>0</v>
      </c>
      <c r="AH49" s="87">
        <f t="shared" si="19"/>
        <v>0</v>
      </c>
      <c r="AI49" s="115">
        <f t="shared" si="37"/>
        <v>0</v>
      </c>
      <c r="AJ49" s="36">
        <f t="shared" si="20"/>
        <v>0</v>
      </c>
      <c r="AK49" s="37">
        <f t="shared" si="21"/>
        <v>0</v>
      </c>
      <c r="AN49" s="8">
        <v>41835</v>
      </c>
      <c r="AO49" s="4" t="b">
        <f t="shared" si="22"/>
        <v>1</v>
      </c>
    </row>
    <row r="50" spans="1:41" x14ac:dyDescent="0.3">
      <c r="A50" s="29">
        <v>0.125</v>
      </c>
      <c r="B50" s="7">
        <v>5</v>
      </c>
      <c r="C50" s="8">
        <v>45580</v>
      </c>
      <c r="D50" s="149">
        <f t="shared" si="8"/>
        <v>43753</v>
      </c>
      <c r="E50" s="150">
        <f>ROUND((VLOOKUP(YEAR(EDATE(D50,-2)),CPI!$A:$M,MONTH(EDATE(D50,-2))+1,FALSE)*(DAY(D50)-1)+VLOOKUP(YEAR(EDATE(D50,-3)),CPI!$A:$M,MONTH(EDATE(D50,-3))+1,FALSE)*(DAY(EOMONTH(D50,0))-DAY(D50)+1))/DAY(EOMONTH(D50,0)),5)</f>
        <v>256.56513000000001</v>
      </c>
      <c r="F50" s="30">
        <v>43769</v>
      </c>
      <c r="G50" s="31">
        <v>45580</v>
      </c>
      <c r="H50" s="32">
        <v>1000</v>
      </c>
      <c r="I50" s="33">
        <f t="shared" si="34"/>
        <v>0</v>
      </c>
      <c r="J50" s="33">
        <f t="shared" si="34"/>
        <v>0</v>
      </c>
      <c r="K50" s="33">
        <f t="shared" si="34"/>
        <v>0</v>
      </c>
      <c r="L50" s="29">
        <f t="shared" ref="L50:N50" si="51">IF(AND($F50&lt;L$3,L$3&lt;=$G50,MOD(MONTH($C50),6)=MOD(MONTH(L$3),6)),$H50*($A50/200),0)</f>
        <v>0</v>
      </c>
      <c r="M50" s="33">
        <f t="shared" si="51"/>
        <v>0</v>
      </c>
      <c r="N50" s="34">
        <f t="shared" si="51"/>
        <v>0</v>
      </c>
      <c r="O50" s="34">
        <f>SUM(I50:N50)</f>
        <v>0</v>
      </c>
      <c r="P50" s="35">
        <f t="shared" si="24"/>
        <v>0</v>
      </c>
      <c r="Q50" s="36">
        <f t="shared" si="25"/>
        <v>0</v>
      </c>
      <c r="R50" s="37">
        <f t="shared" si="26"/>
        <v>0</v>
      </c>
      <c r="S50" s="35">
        <f t="shared" si="27"/>
        <v>0</v>
      </c>
      <c r="T50" s="36">
        <f t="shared" si="28"/>
        <v>0</v>
      </c>
      <c r="U50" s="37">
        <f t="shared" si="29"/>
        <v>0</v>
      </c>
      <c r="V50" s="36">
        <f>SUM(P50:U50)</f>
        <v>0</v>
      </c>
      <c r="W50" s="42">
        <f>IF(F50&lt;$X$1,MAX(F50,$W$1),0)</f>
        <v>45658</v>
      </c>
      <c r="X50" s="43">
        <f>IF(G50&gt;$W$1,MIN(G50,$X$1),0)</f>
        <v>0</v>
      </c>
      <c r="Y50" s="44">
        <f>IF(W50=0,0,ROUND((VLOOKUP(YEAR(EDATE(W50,-2)),CPI!$A:$M,MONTH(EDATE(W50,-2))+1,FALSE)*(DAY(W50)-1)+VLOOKUP(YEAR(EDATE(W50,-3)),CPI!$A:$M,MONTH(EDATE(W50,-3))+1,FALSE)*(DAY(EOMONTH(W50,0))-DAY(W50)+1))/DAY(EOMONTH(W50,0)),5))</f>
        <v>315.66399999999999</v>
      </c>
      <c r="Z50" s="44">
        <f>IF(X50=0,0,ROUND((VLOOKUP(YEAR(EDATE(X50,-2)),CPI!$A:$M,MONTH(EDATE(X50,-2))+1,FALSE)*(DAY(X50)-1)+VLOOKUP(YEAR(EDATE(X50,-3)),CPI!$A:$M,MONTH(EDATE(X50,-3))+1,FALSE)*(DAY(EOMONTH(X50,0))-DAY(X50)+1))/DAY(EOMONTH(X50,0)),5))</f>
        <v>0</v>
      </c>
      <c r="AA50" s="44">
        <f>ROUND((VLOOKUP(YEAR(EDATE(F50,-2)),CPI!$A:$M,MONTH(EDATE(F50,-2))+1,FALSE)*(DAY(F50)-1)+VLOOKUP(YEAR(EDATE(F50,-3)),CPI!$A:$M,MONTH(EDATE(F50,-3))+1,FALSE)*(DAY(EOMONTH(F50,0))-DAY(F50)+1))/DAY(EOMONTH(F50,0)),5)</f>
        <v>256.55842000000001</v>
      </c>
      <c r="AB50" s="45">
        <f>IF(G50&lt;D$1,E$1,IF(G50&gt;D$2,E$2,ROUND((VLOOKUP(YEAR(EDATE(G50,-2)),CPI!$A:$M,MONTH(EDATE(G50,-2))+1,FALSE)*(DAY(G50)-1)+VLOOKUP(YEAR(EDATE(G50,-3)),CPI!$A:$M,MONTH(EDATE(G50,-3))+1,FALSE)*(DAY(EOMONTH(G50,0))-DAY(G50)+1))/DAY(EOMONTH(G50,0)),5)))</f>
        <v>314.65561000000002</v>
      </c>
      <c r="AC50" s="60" t="str">
        <f t="shared" si="15"/>
        <v/>
      </c>
      <c r="AD50" s="46">
        <f t="shared" si="6"/>
        <v>0</v>
      </c>
      <c r="AE50" s="76">
        <f t="shared" si="16"/>
        <v>226.45000000000005</v>
      </c>
      <c r="AF50" s="71">
        <f t="shared" ref="AF50" si="52">IF(AND(F50&lt;=AH$2,AH$2&lt;=G50),ROUND(ROUND(AH$1/E50,5)*H50,2),0)</f>
        <v>0</v>
      </c>
      <c r="AG50" s="71">
        <f t="shared" si="18"/>
        <v>0</v>
      </c>
      <c r="AH50" s="87">
        <f t="shared" si="19"/>
        <v>0</v>
      </c>
      <c r="AI50" s="115">
        <f t="shared" si="37"/>
        <v>0</v>
      </c>
      <c r="AJ50" s="36">
        <f t="shared" si="20"/>
        <v>0</v>
      </c>
      <c r="AK50" s="37">
        <f t="shared" si="21"/>
        <v>0</v>
      </c>
      <c r="AN50" s="8">
        <v>43753</v>
      </c>
      <c r="AO50" s="4" t="b">
        <f t="shared" si="22"/>
        <v>1</v>
      </c>
    </row>
    <row r="51" spans="1:41" x14ac:dyDescent="0.3">
      <c r="A51" s="29">
        <v>2.375</v>
      </c>
      <c r="B51" s="7">
        <v>20.5</v>
      </c>
      <c r="C51" s="8">
        <v>45672</v>
      </c>
      <c r="D51" s="149">
        <f t="shared" si="8"/>
        <v>38183</v>
      </c>
      <c r="E51" s="150">
        <f>ROUND((VLOOKUP(YEAR(EDATE(D51,-2)),CPI!$A:$M,MONTH(EDATE(D51,-2))+1,FALSE)*(DAY(D51)-1)+VLOOKUP(YEAR(EDATE(D51,-3)),CPI!$A:$M,MONTH(EDATE(D51,-3))+1,FALSE)*(DAY(EOMONTH(D51,0))-DAY(D51)+1))/DAY(EOMONTH(D51,0)),5)</f>
        <v>188.49677</v>
      </c>
      <c r="F51" s="30">
        <v>38198</v>
      </c>
      <c r="G51" s="31">
        <v>45672</v>
      </c>
      <c r="H51" s="32">
        <v>1000</v>
      </c>
      <c r="I51" s="33">
        <f t="shared" si="34"/>
        <v>11.875</v>
      </c>
      <c r="J51" s="33">
        <f t="shared" si="34"/>
        <v>0</v>
      </c>
      <c r="K51" s="33">
        <f t="shared" si="34"/>
        <v>0</v>
      </c>
      <c r="L51" s="29">
        <f t="shared" si="34"/>
        <v>0</v>
      </c>
      <c r="M51" s="33">
        <f t="shared" si="34"/>
        <v>0</v>
      </c>
      <c r="N51" s="34">
        <f t="shared" si="34"/>
        <v>0</v>
      </c>
      <c r="O51" s="34">
        <f t="shared" si="23"/>
        <v>11.875</v>
      </c>
      <c r="P51" s="35">
        <f t="shared" si="24"/>
        <v>19.88</v>
      </c>
      <c r="Q51" s="36">
        <f t="shared" si="25"/>
        <v>0</v>
      </c>
      <c r="R51" s="37">
        <f t="shared" si="26"/>
        <v>0</v>
      </c>
      <c r="S51" s="35">
        <f t="shared" si="27"/>
        <v>0</v>
      </c>
      <c r="T51" s="36">
        <f t="shared" si="28"/>
        <v>0</v>
      </c>
      <c r="U51" s="37">
        <f t="shared" si="29"/>
        <v>0</v>
      </c>
      <c r="V51" s="36">
        <f t="shared" si="30"/>
        <v>19.88</v>
      </c>
      <c r="W51" s="42">
        <f t="shared" si="31"/>
        <v>45658</v>
      </c>
      <c r="X51" s="43">
        <f t="shared" si="32"/>
        <v>45672</v>
      </c>
      <c r="Y51" s="44">
        <f>IF(W51=0,0,ROUND((VLOOKUP(YEAR(EDATE(W51,-2)),CPI!$A:$M,MONTH(EDATE(W51,-2))+1,FALSE)*(DAY(W51)-1)+VLOOKUP(YEAR(EDATE(W51,-3)),CPI!$A:$M,MONTH(EDATE(W51,-3))+1,FALSE)*(DAY(EOMONTH(W51,0))-DAY(W51)+1))/DAY(EOMONTH(W51,0)),5))</f>
        <v>315.66399999999999</v>
      </c>
      <c r="Z51" s="44">
        <f>IF(X51=0,0,ROUND((VLOOKUP(YEAR(EDATE(X51,-2)),CPI!$A:$M,MONTH(EDATE(X51,-2))+1,FALSE)*(DAY(X51)-1)+VLOOKUP(YEAR(EDATE(X51,-3)),CPI!$A:$M,MONTH(EDATE(X51,-3))+1,FALSE)*(DAY(EOMONTH(X51,0))-DAY(X51)+1))/DAY(EOMONTH(X51,0)),5))</f>
        <v>315.58677</v>
      </c>
      <c r="AA51" s="44">
        <f>ROUND((VLOOKUP(YEAR(EDATE(F51,-2)),CPI!$A:$M,MONTH(EDATE(F51,-2))+1,FALSE)*(DAY(F51)-1)+VLOOKUP(YEAR(EDATE(F51,-3)),CPI!$A:$M,MONTH(EDATE(F51,-3))+1,FALSE)*(DAY(EOMONTH(F51,0))-DAY(F51)+1))/DAY(EOMONTH(F51,0)),5)</f>
        <v>189.02903000000001</v>
      </c>
      <c r="AB51" s="45">
        <f>IF(G51&lt;D$1,E$1,IF(G51&gt;D$2,E$2,ROUND((VLOOKUP(YEAR(EDATE(G51,-2)),CPI!$A:$M,MONTH(EDATE(G51,-2))+1,FALSE)*(DAY(G51)-1)+VLOOKUP(YEAR(EDATE(G51,-3)),CPI!$A:$M,MONTH(EDATE(G51,-3))+1,FALSE)*(DAY(EOMONTH(G51,0))-DAY(G51)+1))/DAY(EOMONTH(G51,0)),5)))</f>
        <v>315.58677</v>
      </c>
      <c r="AC51" s="60" t="str">
        <f t="shared" si="15"/>
        <v>01/01-01/15</v>
      </c>
      <c r="AD51" s="46">
        <f t="shared" si="6"/>
        <v>-0.40999999999979941</v>
      </c>
      <c r="AE51" s="76">
        <f t="shared" si="16"/>
        <v>671.41000000000008</v>
      </c>
      <c r="AF51" s="71">
        <f>IF(AND(F51&lt;=AH$2,AH$2&lt;=G51),ROUND(ROUND(AH$1/E51,5)*H51,2),0)</f>
        <v>0</v>
      </c>
      <c r="AG51" s="71">
        <f t="shared" si="18"/>
        <v>0</v>
      </c>
      <c r="AH51" s="87">
        <f t="shared" si="19"/>
        <v>0</v>
      </c>
      <c r="AI51" s="115">
        <f t="shared" si="37"/>
        <v>0</v>
      </c>
      <c r="AJ51" s="36">
        <f t="shared" si="20"/>
        <v>0</v>
      </c>
      <c r="AK51" s="37">
        <f t="shared" si="21"/>
        <v>0</v>
      </c>
      <c r="AN51" s="8">
        <v>38183</v>
      </c>
      <c r="AO51" s="4" t="b">
        <f t="shared" si="22"/>
        <v>1</v>
      </c>
    </row>
    <row r="52" spans="1:41" x14ac:dyDescent="0.3">
      <c r="A52" s="29">
        <v>0.25</v>
      </c>
      <c r="B52" s="7">
        <v>10</v>
      </c>
      <c r="C52" s="8">
        <v>45672</v>
      </c>
      <c r="D52" s="149">
        <f t="shared" si="8"/>
        <v>42019</v>
      </c>
      <c r="E52" s="150">
        <f>ROUND((VLOOKUP(YEAR(EDATE(D52,-2)),CPI!$A:$M,MONTH(EDATE(D52,-2))+1,FALSE)*(DAY(D52)-1)+VLOOKUP(YEAR(EDATE(D52,-3)),CPI!$A:$M,MONTH(EDATE(D52,-3))+1,FALSE)*(DAY(EOMONTH(D52,0))-DAY(D52)+1))/DAY(EOMONTH(D52,0)),5)</f>
        <v>236.85402999999999</v>
      </c>
      <c r="F52" s="30">
        <v>42034</v>
      </c>
      <c r="G52" s="31">
        <v>45672</v>
      </c>
      <c r="H52" s="32">
        <v>1000</v>
      </c>
      <c r="I52" s="33">
        <f t="shared" si="34"/>
        <v>1.25</v>
      </c>
      <c r="J52" s="33">
        <f t="shared" si="34"/>
        <v>0</v>
      </c>
      <c r="K52" s="33">
        <f t="shared" si="34"/>
        <v>0</v>
      </c>
      <c r="L52" s="29">
        <f t="shared" si="34"/>
        <v>0</v>
      </c>
      <c r="M52" s="33">
        <f t="shared" si="34"/>
        <v>0</v>
      </c>
      <c r="N52" s="34">
        <f t="shared" si="34"/>
        <v>0</v>
      </c>
      <c r="O52" s="34">
        <f>SUM(I52:N52)</f>
        <v>1.25</v>
      </c>
      <c r="P52" s="35">
        <f t="shared" ref="P52:U55" si="53">ROUND(ROUND(P$1/$E52,5)*I52,2)</f>
        <v>1.67</v>
      </c>
      <c r="Q52" s="36">
        <f t="shared" si="53"/>
        <v>0</v>
      </c>
      <c r="R52" s="37">
        <f t="shared" si="53"/>
        <v>0</v>
      </c>
      <c r="S52" s="35">
        <f t="shared" si="53"/>
        <v>0</v>
      </c>
      <c r="T52" s="36">
        <f t="shared" si="53"/>
        <v>0</v>
      </c>
      <c r="U52" s="37">
        <f t="shared" si="53"/>
        <v>0</v>
      </c>
      <c r="V52" s="36">
        <f>SUM(P52:U52)</f>
        <v>1.67</v>
      </c>
      <c r="W52" s="42">
        <f>IF(F52&lt;$X$1,MAX(F52,$W$1),0)</f>
        <v>45658</v>
      </c>
      <c r="X52" s="43">
        <f>IF(G52&gt;$W$1,MIN(G52,$X$1),0)</f>
        <v>45672</v>
      </c>
      <c r="Y52" s="44">
        <f>IF(W52=0,0,ROUND((VLOOKUP(YEAR(EDATE(W52,-2)),CPI!$A:$M,MONTH(EDATE(W52,-2))+1,FALSE)*(DAY(W52)-1)+VLOOKUP(YEAR(EDATE(W52,-3)),CPI!$A:$M,MONTH(EDATE(W52,-3))+1,FALSE)*(DAY(EOMONTH(W52,0))-DAY(W52)+1))/DAY(EOMONTH(W52,0)),5))</f>
        <v>315.66399999999999</v>
      </c>
      <c r="Z52" s="44">
        <f>IF(X52=0,0,ROUND((VLOOKUP(YEAR(EDATE(X52,-2)),CPI!$A:$M,MONTH(EDATE(X52,-2))+1,FALSE)*(DAY(X52)-1)+VLOOKUP(YEAR(EDATE(X52,-3)),CPI!$A:$M,MONTH(EDATE(X52,-3))+1,FALSE)*(DAY(EOMONTH(X52,0))-DAY(X52)+1))/DAY(EOMONTH(X52,0)),5))</f>
        <v>315.58677</v>
      </c>
      <c r="AA52" s="44">
        <f>ROUND((VLOOKUP(YEAR(EDATE(F52,-2)),CPI!$A:$M,MONTH(EDATE(F52,-2))+1,FALSE)*(DAY(F52)-1)+VLOOKUP(YEAR(EDATE(F52,-3)),CPI!$A:$M,MONTH(EDATE(F52,-3))+1,FALSE)*(DAY(EOMONTH(F52,0))-DAY(F52)+1))/DAY(EOMONTH(F52,0)),5)</f>
        <v>236.23371</v>
      </c>
      <c r="AB52" s="45">
        <f>IF(G52&lt;D$1,E$1,IF(G52&gt;D$2,E$2,ROUND((VLOOKUP(YEAR(EDATE(G52,-2)),CPI!$A:$M,MONTH(EDATE(G52,-2))+1,FALSE)*(DAY(G52)-1)+VLOOKUP(YEAR(EDATE(G52,-3)),CPI!$A:$M,MONTH(EDATE(G52,-3))+1,FALSE)*(DAY(EOMONTH(G52,0))-DAY(G52)+1))/DAY(EOMONTH(G52,0)),5)))</f>
        <v>315.58677</v>
      </c>
      <c r="AC52" s="60" t="str">
        <f t="shared" si="15"/>
        <v>01/01-01/15</v>
      </c>
      <c r="AD52" s="46">
        <f t="shared" si="6"/>
        <v>-0.32999999999994145</v>
      </c>
      <c r="AE52" s="76">
        <f t="shared" si="16"/>
        <v>335.03000000000003</v>
      </c>
      <c r="AF52" s="71">
        <f>IF(AND(F52&lt;=AH$2,AH$2&lt;=G52),ROUND(ROUND(AH$1/E52,5)*H52,2),0)</f>
        <v>0</v>
      </c>
      <c r="AG52" s="71">
        <f t="shared" si="18"/>
        <v>0</v>
      </c>
      <c r="AH52" s="87">
        <f t="shared" si="19"/>
        <v>0</v>
      </c>
      <c r="AI52" s="115">
        <f t="shared" si="37"/>
        <v>0</v>
      </c>
      <c r="AJ52" s="36">
        <f t="shared" si="20"/>
        <v>0</v>
      </c>
      <c r="AK52" s="37">
        <f t="shared" si="21"/>
        <v>0</v>
      </c>
      <c r="AN52" s="8">
        <v>42019</v>
      </c>
      <c r="AO52" s="4" t="b">
        <f t="shared" si="22"/>
        <v>1</v>
      </c>
    </row>
    <row r="53" spans="1:41" x14ac:dyDescent="0.3">
      <c r="A53" s="29">
        <v>0.125</v>
      </c>
      <c r="B53" s="7">
        <v>5</v>
      </c>
      <c r="C53" s="8">
        <v>45762</v>
      </c>
      <c r="D53" s="149">
        <f t="shared" si="8"/>
        <v>43936</v>
      </c>
      <c r="E53" s="150">
        <f>ROUND((VLOOKUP(YEAR(EDATE(D53,-2)),CPI!$A:$M,MONTH(EDATE(D53,-2))+1,FALSE)*(DAY(D53)-1)+VLOOKUP(YEAR(EDATE(D53,-3)),CPI!$A:$M,MONTH(EDATE(D53,-3))+1,FALSE)*(DAY(EOMONTH(D53,0))-DAY(D53)+1))/DAY(EOMONTH(D53,0)),5)</f>
        <v>258.30092999999999</v>
      </c>
      <c r="F53" s="30">
        <v>43951</v>
      </c>
      <c r="G53" s="31">
        <v>45762</v>
      </c>
      <c r="H53" s="32">
        <v>1000</v>
      </c>
      <c r="I53" s="33">
        <f t="shared" ref="I53:N53" si="54">IF(AND($F53&lt;I$3,I$3&lt;=$G53,MOD(MONTH($C53),6)=MOD(MONTH(I$3),6)),$H53*($A53/200),0)</f>
        <v>0</v>
      </c>
      <c r="J53" s="33">
        <f t="shared" si="54"/>
        <v>0</v>
      </c>
      <c r="K53" s="33">
        <f t="shared" si="54"/>
        <v>0.625</v>
      </c>
      <c r="L53" s="29">
        <f t="shared" si="54"/>
        <v>0</v>
      </c>
      <c r="M53" s="33">
        <f t="shared" si="54"/>
        <v>0</v>
      </c>
      <c r="N53" s="34">
        <f t="shared" si="54"/>
        <v>0</v>
      </c>
      <c r="O53" s="34">
        <f>SUM(I53:N53)</f>
        <v>0.625</v>
      </c>
      <c r="P53" s="35">
        <f t="shared" si="53"/>
        <v>0</v>
      </c>
      <c r="Q53" s="36">
        <f t="shared" si="53"/>
        <v>0</v>
      </c>
      <c r="R53" s="37">
        <f t="shared" si="53"/>
        <v>0.77</v>
      </c>
      <c r="S53" s="35">
        <f t="shared" si="53"/>
        <v>0</v>
      </c>
      <c r="T53" s="36">
        <f t="shared" si="53"/>
        <v>0</v>
      </c>
      <c r="U53" s="37">
        <f t="shared" si="53"/>
        <v>0</v>
      </c>
      <c r="V53" s="36">
        <f>SUM(P53:U53)</f>
        <v>0.77</v>
      </c>
      <c r="W53" s="42">
        <f>IF(F53&lt;$X$1,MAX(F53,$W$1),0)</f>
        <v>45658</v>
      </c>
      <c r="X53" s="43">
        <f>IF(G53&gt;$W$1,MIN(G53,$X$1),0)</f>
        <v>45762</v>
      </c>
      <c r="Y53" s="44">
        <f>IF(W53=0,0,ROUND((VLOOKUP(YEAR(EDATE(W53,-2)),CPI!$A:$M,MONTH(EDATE(W53,-2))+1,FALSE)*(DAY(W53)-1)+VLOOKUP(YEAR(EDATE(W53,-3)),CPI!$A:$M,MONTH(EDATE(W53,-3))+1,FALSE)*(DAY(EOMONTH(W53,0))-DAY(W53)+1))/DAY(EOMONTH(W53,0)),5))</f>
        <v>315.66399999999999</v>
      </c>
      <c r="Z53" s="44">
        <f>IF(X53=0,0,ROUND((VLOOKUP(YEAR(EDATE(X53,-2)),CPI!$A:$M,MONTH(EDATE(X53,-2))+1,FALSE)*(DAY(X53)-1)+VLOOKUP(YEAR(EDATE(X53,-3)),CPI!$A:$M,MONTH(EDATE(X53,-3))+1,FALSE)*(DAY(EOMONTH(X53,0))-DAY(X53)+1))/DAY(EOMONTH(X53,0)),5))</f>
        <v>318.32947000000001</v>
      </c>
      <c r="AA53" s="44">
        <f>ROUND((VLOOKUP(YEAR(EDATE(F53,-2)),CPI!$A:$M,MONTH(EDATE(F53,-2))+1,FALSE)*(DAY(F53)-1)+VLOOKUP(YEAR(EDATE(F53,-3)),CPI!$A:$M,MONTH(EDATE(F53,-3))+1,FALSE)*(DAY(EOMONTH(F53,0))-DAY(F53)+1))/DAY(EOMONTH(F53,0)),5)</f>
        <v>258.65442999999999</v>
      </c>
      <c r="AB53" s="45">
        <f>IF(G53&lt;D$1,E$1,IF(G53&gt;D$2,E$2,ROUND((VLOOKUP(YEAR(EDATE(G53,-2)),CPI!$A:$M,MONTH(EDATE(G53,-2))+1,FALSE)*(DAY(G53)-1)+VLOOKUP(YEAR(EDATE(G53,-3)),CPI!$A:$M,MONTH(EDATE(G53,-3))+1,FALSE)*(DAY(EOMONTH(G53,0))-DAY(G53)+1))/DAY(EOMONTH(G53,0)),5)))</f>
        <v>318.32947000000001</v>
      </c>
      <c r="AC53" s="60" t="str">
        <f t="shared" si="15"/>
        <v>01/01-04/15</v>
      </c>
      <c r="AD53" s="46">
        <f t="shared" si="6"/>
        <v>10.319999999999885</v>
      </c>
      <c r="AE53" s="76">
        <f>IF(ISERROR(AB53),0,IF(AB53=0,0,H53*(ROUND(AB53/E53,5)-ROUND(AA53/E53,5))))</f>
        <v>231.02999999999986</v>
      </c>
      <c r="AF53" s="71">
        <f t="shared" ref="AF53" si="55">IF(AND(F53&lt;=AH$2,AH$2&lt;=G53),ROUND(ROUND(AH$1/E53,5)*H53,2),0)</f>
        <v>0</v>
      </c>
      <c r="AG53" s="71">
        <f t="shared" si="18"/>
        <v>0</v>
      </c>
      <c r="AH53" s="87">
        <f t="shared" si="19"/>
        <v>0</v>
      </c>
      <c r="AI53" s="115">
        <f t="shared" si="37"/>
        <v>0</v>
      </c>
      <c r="AJ53" s="36">
        <f t="shared" si="20"/>
        <v>0</v>
      </c>
      <c r="AK53" s="37">
        <f t="shared" si="21"/>
        <v>0</v>
      </c>
      <c r="AN53" s="8">
        <v>43936</v>
      </c>
      <c r="AO53" s="4" t="b">
        <f t="shared" si="22"/>
        <v>1</v>
      </c>
    </row>
    <row r="54" spans="1:41" x14ac:dyDescent="0.3">
      <c r="A54" s="29">
        <v>0.375</v>
      </c>
      <c r="B54" s="7">
        <v>10</v>
      </c>
      <c r="C54" s="8">
        <v>45853</v>
      </c>
      <c r="D54" s="149">
        <f t="shared" si="8"/>
        <v>42200</v>
      </c>
      <c r="E54" s="150">
        <f>ROUND((VLOOKUP(YEAR(EDATE(D54,-2)),CPI!$A:$M,MONTH(EDATE(D54,-2))+1,FALSE)*(DAY(D54)-1)+VLOOKUP(YEAR(EDATE(D54,-3)),CPI!$A:$M,MONTH(EDATE(D54,-3))+1,FALSE)*(DAY(EOMONTH(D54,0))-DAY(D54)+1))/DAY(EOMONTH(D54,0)),5)</f>
        <v>237.14365000000001</v>
      </c>
      <c r="F54" s="30">
        <v>42216</v>
      </c>
      <c r="G54" s="31">
        <v>45853</v>
      </c>
      <c r="H54" s="32">
        <v>1000</v>
      </c>
      <c r="I54" s="33">
        <f t="shared" si="34"/>
        <v>1.875</v>
      </c>
      <c r="J54" s="33">
        <f t="shared" si="34"/>
        <v>0</v>
      </c>
      <c r="K54" s="33">
        <f t="shared" si="34"/>
        <v>0</v>
      </c>
      <c r="L54" s="29">
        <f t="shared" si="34"/>
        <v>1.875</v>
      </c>
      <c r="M54" s="33">
        <f t="shared" si="34"/>
        <v>0</v>
      </c>
      <c r="N54" s="34">
        <f t="shared" si="34"/>
        <v>0</v>
      </c>
      <c r="O54" s="34">
        <f>SUM(I54:N54)</f>
        <v>3.75</v>
      </c>
      <c r="P54" s="35">
        <f t="shared" si="53"/>
        <v>2.5</v>
      </c>
      <c r="Q54" s="36">
        <f t="shared" si="53"/>
        <v>0</v>
      </c>
      <c r="R54" s="37">
        <f t="shared" si="53"/>
        <v>0</v>
      </c>
      <c r="S54" s="35">
        <f t="shared" si="53"/>
        <v>0</v>
      </c>
      <c r="T54" s="36">
        <f t="shared" si="53"/>
        <v>0</v>
      </c>
      <c r="U54" s="37">
        <f t="shared" si="53"/>
        <v>0</v>
      </c>
      <c r="V54" s="36">
        <f>SUM(P54:U54)</f>
        <v>2.5</v>
      </c>
      <c r="W54" s="42">
        <f>IF(F54&lt;$X$1,MAX(F54,$W$1),0)</f>
        <v>45658</v>
      </c>
      <c r="X54" s="43">
        <f>IF(G54&gt;$W$1,MIN(G54,$X$1),0)</f>
        <v>45839</v>
      </c>
      <c r="Y54" s="44">
        <f>IF(W54=0,0,ROUND((VLOOKUP(YEAR(EDATE(W54,-2)),CPI!$A:$M,MONTH(EDATE(W54,-2))+1,FALSE)*(DAY(W54)-1)+VLOOKUP(YEAR(EDATE(W54,-3)),CPI!$A:$M,MONTH(EDATE(W54,-3))+1,FALSE)*(DAY(EOMONTH(W54,0))-DAY(W54)+1))/DAY(EOMONTH(W54,0)),5))</f>
        <v>315.66399999999999</v>
      </c>
      <c r="Z54" s="44">
        <f>IF(X54=0,0,ROUND((VLOOKUP(YEAR(EDATE(X54,-2)),CPI!$A:$M,MONTH(EDATE(X54,-2))+1,FALSE)*(DAY(X54)-1)+VLOOKUP(YEAR(EDATE(X54,-3)),CPI!$A:$M,MONTH(EDATE(X54,-3))+1,FALSE)*(DAY(EOMONTH(X54,0))-DAY(X54)+1))/DAY(EOMONTH(X54,0)),5))</f>
        <v>320.79500000000002</v>
      </c>
      <c r="AA54" s="44">
        <f>ROUND((VLOOKUP(YEAR(EDATE(F54,-2)),CPI!$A:$M,MONTH(EDATE(F54,-2))+1,FALSE)*(DAY(F54)-1)+VLOOKUP(YEAR(EDATE(F54,-3)),CPI!$A:$M,MONTH(EDATE(F54,-3))+1,FALSE)*(DAY(EOMONTH(F54,0))-DAY(F54)+1))/DAY(EOMONTH(F54,0)),5)</f>
        <v>237.76609999999999</v>
      </c>
      <c r="AB54" s="45">
        <f>IF(G54&lt;D$1,E$1,IF(G54&gt;D$2,E$2,ROUND((VLOOKUP(YEAR(EDATE(G54,-2)),CPI!$A:$M,MONTH(EDATE(G54,-2))+1,FALSE)*(DAY(G54)-1)+VLOOKUP(YEAR(EDATE(G54,-3)),CPI!$A:$M,MONTH(EDATE(G54,-3))+1,FALSE)*(DAY(EOMONTH(G54,0))-DAY(G54)+1))/DAY(EOMONTH(G54,0)),5)))</f>
        <v>0</v>
      </c>
      <c r="AC54" s="60" t="str">
        <f t="shared" si="15"/>
        <v/>
      </c>
      <c r="AD54" s="46">
        <f>$H54*IF(OR($Y54=0,$Z54=0),0,ROUND($Z54/$E54,5)-ROUND($Y54/$E54,5))</f>
        <v>21.63999999999988</v>
      </c>
      <c r="AE54" s="76">
        <f t="shared" si="16"/>
        <v>0</v>
      </c>
      <c r="AF54" s="71">
        <f t="shared" si="36"/>
        <v>1346.79</v>
      </c>
      <c r="AG54" s="71">
        <f t="shared" si="18"/>
        <v>1.66</v>
      </c>
      <c r="AH54" s="87">
        <f t="shared" si="19"/>
        <v>1348.45</v>
      </c>
      <c r="AI54" s="115">
        <f t="shared" si="37"/>
        <v>99.875</v>
      </c>
      <c r="AJ54" s="36">
        <f t="shared" si="20"/>
        <v>1345.1065125</v>
      </c>
      <c r="AK54" s="37">
        <f t="shared" si="21"/>
        <v>1346.7665125000001</v>
      </c>
      <c r="AN54" s="8">
        <v>42200</v>
      </c>
      <c r="AO54" s="4" t="b">
        <f t="shared" si="22"/>
        <v>1</v>
      </c>
    </row>
    <row r="55" spans="1:41" x14ac:dyDescent="0.3">
      <c r="A55" s="29">
        <v>0.125</v>
      </c>
      <c r="B55" s="7">
        <v>5</v>
      </c>
      <c r="C55" s="8">
        <v>45945</v>
      </c>
      <c r="D55" s="149">
        <f t="shared" si="8"/>
        <v>44119</v>
      </c>
      <c r="E55" s="150">
        <f>ROUND((VLOOKUP(YEAR(EDATE(D55,-2)),CPI!$A:$M,MONTH(EDATE(D55,-2))+1,FALSE)*(DAY(D55)-1)+VLOOKUP(YEAR(EDATE(D55,-3)),CPI!$A:$M,MONTH(EDATE(D55,-3))+1,FALSE)*(DAY(EOMONTH(D55,0))-DAY(D55)+1))/DAY(EOMONTH(D55,0)),5)</f>
        <v>259.46996999999999</v>
      </c>
      <c r="F55" s="30">
        <v>44134</v>
      </c>
      <c r="G55" s="31">
        <v>45945</v>
      </c>
      <c r="H55" s="32">
        <v>1000</v>
      </c>
      <c r="I55" s="33">
        <f t="shared" ref="I55:N55" si="56">IF(AND($F55&lt;I$3,I$3&lt;=$G55,MOD(MONTH($C55),6)=MOD(MONTH(I$3),6)),$H55*($A55/200),0)</f>
        <v>0</v>
      </c>
      <c r="J55" s="33">
        <f t="shared" si="56"/>
        <v>0</v>
      </c>
      <c r="K55" s="33">
        <f t="shared" si="56"/>
        <v>0.625</v>
      </c>
      <c r="L55" s="29">
        <f t="shared" si="56"/>
        <v>0</v>
      </c>
      <c r="M55" s="33">
        <f t="shared" si="56"/>
        <v>0</v>
      </c>
      <c r="N55" s="34">
        <f t="shared" si="56"/>
        <v>0.625</v>
      </c>
      <c r="O55" s="34">
        <f>SUM(I55:N55)</f>
        <v>1.25</v>
      </c>
      <c r="P55" s="35">
        <f t="shared" si="53"/>
        <v>0</v>
      </c>
      <c r="Q55" s="36">
        <f t="shared" si="53"/>
        <v>0</v>
      </c>
      <c r="R55" s="37">
        <f t="shared" si="53"/>
        <v>0.77</v>
      </c>
      <c r="S55" s="35">
        <f t="shared" si="53"/>
        <v>0</v>
      </c>
      <c r="T55" s="36">
        <f t="shared" si="53"/>
        <v>0</v>
      </c>
      <c r="U55" s="37">
        <f t="shared" si="53"/>
        <v>0</v>
      </c>
      <c r="V55" s="36">
        <f>SUM(P55:U55)</f>
        <v>0.77</v>
      </c>
      <c r="W55" s="42">
        <f>IF(F55&lt;$X$1,MAX(F55,$W$1),0)</f>
        <v>45658</v>
      </c>
      <c r="X55" s="43">
        <f>IF(G55&gt;$W$1,MIN(G55,$X$1),0)</f>
        <v>45839</v>
      </c>
      <c r="Y55" s="44">
        <f>IF(W55=0,0,ROUND((VLOOKUP(YEAR(EDATE(W55,-2)),CPI!$A:$M,MONTH(EDATE(W55,-2))+1,FALSE)*(DAY(W55)-1)+VLOOKUP(YEAR(EDATE(W55,-3)),CPI!$A:$M,MONTH(EDATE(W55,-3))+1,FALSE)*(DAY(EOMONTH(W55,0))-DAY(W55)+1))/DAY(EOMONTH(W55,0)),5))</f>
        <v>315.66399999999999</v>
      </c>
      <c r="Z55" s="44">
        <f>IF(X55=0,0,ROUND((VLOOKUP(YEAR(EDATE(X55,-2)),CPI!$A:$M,MONTH(EDATE(X55,-2))+1,FALSE)*(DAY(X55)-1)+VLOOKUP(YEAR(EDATE(X55,-3)),CPI!$A:$M,MONTH(EDATE(X55,-3))+1,FALSE)*(DAY(EOMONTH(X55,0))-DAY(X55)+1))/DAY(EOMONTH(X55,0)),5))</f>
        <v>320.79500000000002</v>
      </c>
      <c r="AA55" s="44">
        <f>ROUND((VLOOKUP(YEAR(EDATE(F55,-2)),CPI!$A:$M,MONTH(EDATE(F55,-2))+1,FALSE)*(DAY(F55)-1)+VLOOKUP(YEAR(EDATE(F55,-3)),CPI!$A:$M,MONTH(EDATE(F55,-3))+1,FALSE)*(DAY(EOMONTH(F55,0))-DAY(F55)+1))/DAY(EOMONTH(F55,0)),5)</f>
        <v>259.86529000000002</v>
      </c>
      <c r="AB55" s="45">
        <f>IF(G55&lt;D$1,E$1,IF(G55&gt;D$2,E$2,ROUND((VLOOKUP(YEAR(EDATE(G55,-2)),CPI!$A:$M,MONTH(EDATE(G55,-2))+1,FALSE)*(DAY(G55)-1)+VLOOKUP(YEAR(EDATE(G55,-3)),CPI!$A:$M,MONTH(EDATE(G55,-3))+1,FALSE)*(DAY(EOMONTH(G55,0))-DAY(G55)+1))/DAY(EOMONTH(G55,0)),5)))</f>
        <v>0</v>
      </c>
      <c r="AC55" s="60" t="str">
        <f t="shared" si="15"/>
        <v/>
      </c>
      <c r="AD55" s="46">
        <f t="shared" si="6"/>
        <v>19.780000000000129</v>
      </c>
      <c r="AE55" s="76">
        <f t="shared" si="16"/>
        <v>0</v>
      </c>
      <c r="AF55" s="71">
        <f t="shared" si="36"/>
        <v>1230.9000000000001</v>
      </c>
      <c r="AG55" s="71">
        <f t="shared" si="18"/>
        <v>0.12</v>
      </c>
      <c r="AH55" s="87">
        <f t="shared" ref="AH55" si="57">AF55+AG55</f>
        <v>1231.02</v>
      </c>
      <c r="AI55" s="115">
        <f t="shared" si="37"/>
        <v>99.749999999999986</v>
      </c>
      <c r="AJ55" s="36">
        <f t="shared" si="20"/>
        <v>1227.8227499999998</v>
      </c>
      <c r="AK55" s="37">
        <f t="shared" si="21"/>
        <v>1227.9427499999997</v>
      </c>
      <c r="AN55" s="8">
        <v>44119</v>
      </c>
      <c r="AO55" s="4" t="b">
        <f t="shared" si="22"/>
        <v>1</v>
      </c>
    </row>
    <row r="56" spans="1:41" x14ac:dyDescent="0.3">
      <c r="A56" s="29">
        <v>2</v>
      </c>
      <c r="B56" s="7">
        <v>20</v>
      </c>
      <c r="C56" s="8">
        <v>46037</v>
      </c>
      <c r="D56" s="149">
        <f t="shared" si="8"/>
        <v>38732</v>
      </c>
      <c r="E56" s="150">
        <f>ROUND((VLOOKUP(YEAR(EDATE(D56,-2)),CPI!$A:$M,MONTH(EDATE(D56,-2))+1,FALSE)*(DAY(D56)-1)+VLOOKUP(YEAR(EDATE(D56,-3)),CPI!$A:$M,MONTH(EDATE(D56,-3))+1,FALSE)*(DAY(EOMONTH(D56,0))-DAY(D56)+1))/DAY(EOMONTH(D56,0)),5)</f>
        <v>198.47742</v>
      </c>
      <c r="F56" s="30">
        <v>38748</v>
      </c>
      <c r="G56" s="31">
        <v>46037</v>
      </c>
      <c r="H56" s="32">
        <v>1000</v>
      </c>
      <c r="I56" s="33">
        <f t="shared" si="34"/>
        <v>10</v>
      </c>
      <c r="J56" s="33">
        <f t="shared" si="34"/>
        <v>0</v>
      </c>
      <c r="K56" s="33">
        <f t="shared" si="34"/>
        <v>0</v>
      </c>
      <c r="L56" s="29">
        <f t="shared" si="34"/>
        <v>10</v>
      </c>
      <c r="M56" s="33">
        <f t="shared" si="34"/>
        <v>0</v>
      </c>
      <c r="N56" s="34">
        <f t="shared" si="34"/>
        <v>0</v>
      </c>
      <c r="O56" s="34">
        <f t="shared" si="23"/>
        <v>20</v>
      </c>
      <c r="P56" s="35">
        <f t="shared" si="24"/>
        <v>15.9</v>
      </c>
      <c r="Q56" s="36">
        <f t="shared" si="25"/>
        <v>0</v>
      </c>
      <c r="R56" s="37">
        <f t="shared" si="26"/>
        <v>0</v>
      </c>
      <c r="S56" s="35">
        <f t="shared" si="27"/>
        <v>0</v>
      </c>
      <c r="T56" s="36">
        <f t="shared" si="28"/>
        <v>0</v>
      </c>
      <c r="U56" s="37">
        <f t="shared" si="29"/>
        <v>0</v>
      </c>
      <c r="V56" s="36">
        <f t="shared" si="30"/>
        <v>15.9</v>
      </c>
      <c r="W56" s="42">
        <f t="shared" si="31"/>
        <v>45658</v>
      </c>
      <c r="X56" s="43">
        <f t="shared" si="32"/>
        <v>45839</v>
      </c>
      <c r="Y56" s="44">
        <f>IF(W56=0,0,ROUND((VLOOKUP(YEAR(EDATE(W56,-2)),CPI!$A:$M,MONTH(EDATE(W56,-2))+1,FALSE)*(DAY(W56)-1)+VLOOKUP(YEAR(EDATE(W56,-3)),CPI!$A:$M,MONTH(EDATE(W56,-3))+1,FALSE)*(DAY(EOMONTH(W56,0))-DAY(W56)+1))/DAY(EOMONTH(W56,0)),5))</f>
        <v>315.66399999999999</v>
      </c>
      <c r="Z56" s="44">
        <f>IF(X56=0,0,ROUND((VLOOKUP(YEAR(EDATE(X56,-2)),CPI!$A:$M,MONTH(EDATE(X56,-2))+1,FALSE)*(DAY(X56)-1)+VLOOKUP(YEAR(EDATE(X56,-3)),CPI!$A:$M,MONTH(EDATE(X56,-3))+1,FALSE)*(DAY(EOMONTH(X56,0))-DAY(X56)+1))/DAY(EOMONTH(X56,0)),5))</f>
        <v>320.79500000000002</v>
      </c>
      <c r="AA56" s="44">
        <f>ROUND((VLOOKUP(YEAR(EDATE(F56,-2)),CPI!$A:$M,MONTH(EDATE(F56,-2))+1,FALSE)*(DAY(F56)-1)+VLOOKUP(YEAR(EDATE(F56,-3)),CPI!$A:$M,MONTH(EDATE(F56,-3))+1,FALSE)*(DAY(EOMONTH(F56,0))-DAY(F56)+1))/DAY(EOMONTH(F56,0)),5)</f>
        <v>197.65161000000001</v>
      </c>
      <c r="AB56" s="45">
        <f>IF(G56&lt;D$1,E$1,IF(G56&gt;D$2,E$2,ROUND((VLOOKUP(YEAR(EDATE(G56,-2)),CPI!$A:$M,MONTH(EDATE(G56,-2))+1,FALSE)*(DAY(G56)-1)+VLOOKUP(YEAR(EDATE(G56,-3)),CPI!$A:$M,MONTH(EDATE(G56,-3))+1,FALSE)*(DAY(EOMONTH(G56,0))-DAY(G56)+1))/DAY(EOMONTH(G56,0)),5)))</f>
        <v>0</v>
      </c>
      <c r="AC56" s="60" t="str">
        <f t="shared" si="15"/>
        <v/>
      </c>
      <c r="AD56" s="46">
        <f t="shared" si="6"/>
        <v>25.84999999999993</v>
      </c>
      <c r="AE56" s="76">
        <f t="shared" si="16"/>
        <v>0</v>
      </c>
      <c r="AF56" s="71">
        <f t="shared" si="36"/>
        <v>1609.16</v>
      </c>
      <c r="AG56" s="71">
        <f t="shared" si="18"/>
        <v>10.58</v>
      </c>
      <c r="AH56" s="87">
        <f t="shared" si="19"/>
        <v>1619.74</v>
      </c>
      <c r="AI56" s="115">
        <f t="shared" si="37"/>
        <v>100.40624999999999</v>
      </c>
      <c r="AJ56" s="36">
        <f t="shared" si="20"/>
        <v>1615.6972124999998</v>
      </c>
      <c r="AK56" s="37">
        <f t="shared" si="21"/>
        <v>1626.2772124999997</v>
      </c>
      <c r="AN56" s="8">
        <v>38732</v>
      </c>
      <c r="AO56" s="4" t="b">
        <f t="shared" si="22"/>
        <v>1</v>
      </c>
    </row>
    <row r="57" spans="1:41" x14ac:dyDescent="0.3">
      <c r="A57" s="29">
        <v>0.625</v>
      </c>
      <c r="B57" s="7">
        <v>10</v>
      </c>
      <c r="C57" s="8">
        <v>46037</v>
      </c>
      <c r="D57" s="149">
        <f t="shared" si="8"/>
        <v>42384</v>
      </c>
      <c r="E57" s="150">
        <f>ROUND((VLOOKUP(YEAR(EDATE(D57,-2)),CPI!$A:$M,MONTH(EDATE(D57,-2))+1,FALSE)*(DAY(D57)-1)+VLOOKUP(YEAR(EDATE(D57,-3)),CPI!$A:$M,MONTH(EDATE(D57,-3))+1,FALSE)*(DAY(EOMONTH(D57,0))-DAY(D57)+1))/DAY(EOMONTH(D57,0)),5)</f>
        <v>237.61129</v>
      </c>
      <c r="F57" s="30">
        <v>42398</v>
      </c>
      <c r="G57" s="31">
        <v>46037</v>
      </c>
      <c r="H57" s="32">
        <v>1000</v>
      </c>
      <c r="I57" s="33">
        <f t="shared" si="34"/>
        <v>3.125</v>
      </c>
      <c r="J57" s="33">
        <f t="shared" si="34"/>
        <v>0</v>
      </c>
      <c r="K57" s="33">
        <f t="shared" si="34"/>
        <v>0</v>
      </c>
      <c r="L57" s="29">
        <f t="shared" si="34"/>
        <v>3.125</v>
      </c>
      <c r="M57" s="33">
        <f t="shared" si="34"/>
        <v>0</v>
      </c>
      <c r="N57" s="34">
        <f t="shared" si="34"/>
        <v>0</v>
      </c>
      <c r="O57" s="34">
        <f>SUM(I57:N57)</f>
        <v>6.25</v>
      </c>
      <c r="P57" s="35">
        <f t="shared" ref="P57:U59" si="58">ROUND(ROUND(P$1/$E57,5)*I57,2)</f>
        <v>4.1500000000000004</v>
      </c>
      <c r="Q57" s="36">
        <f t="shared" si="58"/>
        <v>0</v>
      </c>
      <c r="R57" s="37">
        <f t="shared" si="58"/>
        <v>0</v>
      </c>
      <c r="S57" s="35">
        <f t="shared" si="58"/>
        <v>0</v>
      </c>
      <c r="T57" s="36">
        <f t="shared" si="58"/>
        <v>0</v>
      </c>
      <c r="U57" s="37">
        <f t="shared" si="58"/>
        <v>0</v>
      </c>
      <c r="V57" s="36">
        <f>SUM(P57:U57)</f>
        <v>4.1500000000000004</v>
      </c>
      <c r="W57" s="42">
        <f>IF(F57&lt;$X$1,MAX(F57,$W$1),0)</f>
        <v>45658</v>
      </c>
      <c r="X57" s="43">
        <f>IF(G57&gt;$W$1,MIN(G57,$X$1),0)</f>
        <v>45839</v>
      </c>
      <c r="Y57" s="44">
        <f>IF(W57=0,0,ROUND((VLOOKUP(YEAR(EDATE(W57,-2)),CPI!$A:$M,MONTH(EDATE(W57,-2))+1,FALSE)*(DAY(W57)-1)+VLOOKUP(YEAR(EDATE(W57,-3)),CPI!$A:$M,MONTH(EDATE(W57,-3))+1,FALSE)*(DAY(EOMONTH(W57,0))-DAY(W57)+1))/DAY(EOMONTH(W57,0)),5))</f>
        <v>315.66399999999999</v>
      </c>
      <c r="Z57" s="44">
        <f>IF(X57=0,0,ROUND((VLOOKUP(YEAR(EDATE(X57,-2)),CPI!$A:$M,MONTH(EDATE(X57,-2))+1,FALSE)*(DAY(X57)-1)+VLOOKUP(YEAR(EDATE(X57,-3)),CPI!$A:$M,MONTH(EDATE(X57,-3))+1,FALSE)*(DAY(EOMONTH(X57,0))-DAY(X57)+1))/DAY(EOMONTH(X57,0)),5))</f>
        <v>320.79500000000002</v>
      </c>
      <c r="AA57" s="44">
        <f>ROUND((VLOOKUP(YEAR(EDATE(F57,-2)),CPI!$A:$M,MONTH(EDATE(F57,-2))+1,FALSE)*(DAY(F57)-1)+VLOOKUP(YEAR(EDATE(F57,-3)),CPI!$A:$M,MONTH(EDATE(F57,-3))+1,FALSE)*(DAY(EOMONTH(F57,0))-DAY(F57)+1))/DAY(EOMONTH(F57,0)),5)</f>
        <v>237.38458</v>
      </c>
      <c r="AB57" s="45">
        <f>IF(G57&lt;D$1,E$1,IF(G57&gt;D$2,E$2,ROUND((VLOOKUP(YEAR(EDATE(G57,-2)),CPI!$A:$M,MONTH(EDATE(G57,-2))+1,FALSE)*(DAY(G57)-1)+VLOOKUP(YEAR(EDATE(G57,-3)),CPI!$A:$M,MONTH(EDATE(G57,-3))+1,FALSE)*(DAY(EOMONTH(G57,0))-DAY(G57)+1))/DAY(EOMONTH(G57,0)),5)))</f>
        <v>0</v>
      </c>
      <c r="AC57" s="60" t="str">
        <f t="shared" si="15"/>
        <v/>
      </c>
      <c r="AD57" s="46">
        <f t="shared" si="6"/>
        <v>21.589999999999996</v>
      </c>
      <c r="AE57" s="76">
        <f t="shared" si="16"/>
        <v>0</v>
      </c>
      <c r="AF57" s="71">
        <f t="shared" si="36"/>
        <v>1344.14</v>
      </c>
      <c r="AG57" s="71">
        <f t="shared" si="18"/>
        <v>2.76</v>
      </c>
      <c r="AH57" s="87">
        <f t="shared" si="19"/>
        <v>1346.9</v>
      </c>
      <c r="AI57" s="115">
        <f t="shared" si="37"/>
        <v>99.499999999999986</v>
      </c>
      <c r="AJ57" s="36">
        <f t="shared" si="20"/>
        <v>1337.4193</v>
      </c>
      <c r="AK57" s="37">
        <f t="shared" si="21"/>
        <v>1340.1793</v>
      </c>
      <c r="AN57" s="8">
        <v>42384</v>
      </c>
      <c r="AO57" s="4" t="b">
        <f t="shared" si="22"/>
        <v>1</v>
      </c>
    </row>
    <row r="58" spans="1:41" x14ac:dyDescent="0.3">
      <c r="A58" s="29">
        <v>0.125</v>
      </c>
      <c r="B58" s="7">
        <v>5</v>
      </c>
      <c r="C58" s="8">
        <v>46127</v>
      </c>
      <c r="D58" s="149">
        <f t="shared" si="8"/>
        <v>44301</v>
      </c>
      <c r="E58" s="150">
        <f>ROUND((VLOOKUP(YEAR(EDATE(D58,-2)),CPI!$A:$M,MONTH(EDATE(D58,-2))+1,FALSE)*(DAY(D58)-1)+VLOOKUP(YEAR(EDATE(D58,-3)),CPI!$A:$M,MONTH(EDATE(D58,-3))+1,FALSE)*(DAY(EOMONTH(D58,0))-DAY(D58)+1))/DAY(EOMONTH(D58,0)),5)</f>
        <v>262.25027</v>
      </c>
      <c r="F58" s="30">
        <v>44316</v>
      </c>
      <c r="G58" s="31">
        <v>46127</v>
      </c>
      <c r="H58" s="32">
        <v>1000</v>
      </c>
      <c r="I58" s="33">
        <f t="shared" ref="I58:N60" si="59">IF(AND($F58&lt;I$3,I$3&lt;=$G58,MOD(MONTH($C58),6)=MOD(MONTH(I$3),6)),$H58*($A58/200),0)</f>
        <v>0</v>
      </c>
      <c r="J58" s="33">
        <f t="shared" si="59"/>
        <v>0</v>
      </c>
      <c r="K58" s="33">
        <f t="shared" si="59"/>
        <v>0.625</v>
      </c>
      <c r="L58" s="29">
        <f t="shared" si="59"/>
        <v>0</v>
      </c>
      <c r="M58" s="33">
        <f t="shared" si="59"/>
        <v>0</v>
      </c>
      <c r="N58" s="34">
        <f t="shared" si="59"/>
        <v>0.625</v>
      </c>
      <c r="O58" s="34">
        <f>SUM(I58:N58)</f>
        <v>1.25</v>
      </c>
      <c r="P58" s="35">
        <f t="shared" si="58"/>
        <v>0</v>
      </c>
      <c r="Q58" s="36">
        <f t="shared" si="58"/>
        <v>0</v>
      </c>
      <c r="R58" s="37">
        <f t="shared" si="58"/>
        <v>0.76</v>
      </c>
      <c r="S58" s="35">
        <f t="shared" si="58"/>
        <v>0</v>
      </c>
      <c r="T58" s="36">
        <f t="shared" si="58"/>
        <v>0</v>
      </c>
      <c r="U58" s="37">
        <f t="shared" si="58"/>
        <v>0</v>
      </c>
      <c r="V58" s="36">
        <f>SUM(P58:U58)</f>
        <v>0.76</v>
      </c>
      <c r="W58" s="42">
        <f>IF(F58&lt;$X$1,MAX(F58,$W$1),0)</f>
        <v>45658</v>
      </c>
      <c r="X58" s="43">
        <f>IF(G58&gt;$W$1,MIN(G58,$X$1),0)</f>
        <v>45839</v>
      </c>
      <c r="Y58" s="44">
        <f>IF(W58=0,0,ROUND((VLOOKUP(YEAR(EDATE(W58,-2)),CPI!$A:$M,MONTH(EDATE(W58,-2))+1,FALSE)*(DAY(W58)-1)+VLOOKUP(YEAR(EDATE(W58,-3)),CPI!$A:$M,MONTH(EDATE(W58,-3))+1,FALSE)*(DAY(EOMONTH(W58,0))-DAY(W58)+1))/DAY(EOMONTH(W58,0)),5))</f>
        <v>315.66399999999999</v>
      </c>
      <c r="Z58" s="44">
        <f>IF(X58=0,0,ROUND((VLOOKUP(YEAR(EDATE(X58,-2)),CPI!$A:$M,MONTH(EDATE(X58,-2))+1,FALSE)*(DAY(X58)-1)+VLOOKUP(YEAR(EDATE(X58,-3)),CPI!$A:$M,MONTH(EDATE(X58,-3))+1,FALSE)*(DAY(EOMONTH(X58,0))-DAY(X58)+1))/DAY(EOMONTH(X58,0)),5))</f>
        <v>320.79500000000002</v>
      </c>
      <c r="AA58" s="44">
        <f>ROUND((VLOOKUP(YEAR(EDATE(F58,-2)),CPI!$A:$M,MONTH(EDATE(F58,-2))+1,FALSE)*(DAY(F58)-1)+VLOOKUP(YEAR(EDATE(F58,-3)),CPI!$A:$M,MONTH(EDATE(F58,-3))+1,FALSE)*(DAY(EOMONTH(F58,0))-DAY(F58)+1))/DAY(EOMONTH(F58,0)),5)</f>
        <v>262.96627000000001</v>
      </c>
      <c r="AB58" s="45">
        <f>IF(G58&lt;D$1,E$1,IF(G58&gt;D$2,E$2,ROUND((VLOOKUP(YEAR(EDATE(G58,-2)),CPI!$A:$M,MONTH(EDATE(G58,-2))+1,FALSE)*(DAY(G58)-1)+VLOOKUP(YEAR(EDATE(G58,-3)),CPI!$A:$M,MONTH(EDATE(G58,-3))+1,FALSE)*(DAY(EOMONTH(G58,0))-DAY(G58)+1))/DAY(EOMONTH(G58,0)),5)))</f>
        <v>0</v>
      </c>
      <c r="AC58" s="60" t="str">
        <f t="shared" si="15"/>
        <v/>
      </c>
      <c r="AD58" s="46">
        <f t="shared" si="6"/>
        <v>19.570000000000086</v>
      </c>
      <c r="AE58" s="76">
        <f t="shared" si="16"/>
        <v>0</v>
      </c>
      <c r="AF58" s="71">
        <f t="shared" si="36"/>
        <v>1217.8499999999999</v>
      </c>
      <c r="AG58" s="71">
        <f t="shared" si="18"/>
        <v>0.12</v>
      </c>
      <c r="AH58" s="87">
        <f t="shared" ref="AH58" si="60">AF58+AG58</f>
        <v>1217.9699999999998</v>
      </c>
      <c r="AI58" s="115">
        <f t="shared" si="37"/>
        <v>98.843749999999986</v>
      </c>
      <c r="AJ58" s="36">
        <f t="shared" si="20"/>
        <v>1203.7686093749996</v>
      </c>
      <c r="AK58" s="37">
        <f t="shared" si="21"/>
        <v>1203.8886093749995</v>
      </c>
      <c r="AN58" s="8">
        <v>44301</v>
      </c>
      <c r="AO58" s="4" t="b">
        <f t="shared" si="22"/>
        <v>1</v>
      </c>
    </row>
    <row r="59" spans="1:41" x14ac:dyDescent="0.3">
      <c r="A59" s="29">
        <v>0.125</v>
      </c>
      <c r="B59" s="7">
        <v>10</v>
      </c>
      <c r="C59" s="8">
        <v>46218</v>
      </c>
      <c r="D59" s="149">
        <f t="shared" si="8"/>
        <v>42566</v>
      </c>
      <c r="E59" s="150">
        <f>ROUND((VLOOKUP(YEAR(EDATE(D59,-2)),CPI!$A:$M,MONTH(EDATE(D59,-2))+1,FALSE)*(DAY(D59)-1)+VLOOKUP(YEAR(EDATE(D59,-3)),CPI!$A:$M,MONTH(EDATE(D59,-3))+1,FALSE)*(DAY(EOMONTH(D59,0))-DAY(D59)+1))/DAY(EOMONTH(D59,0)),5)</f>
        <v>239.70132000000001</v>
      </c>
      <c r="F59" s="30">
        <v>42580</v>
      </c>
      <c r="G59" s="31">
        <v>46218</v>
      </c>
      <c r="H59" s="32">
        <v>1000</v>
      </c>
      <c r="I59" s="33">
        <f t="shared" si="34"/>
        <v>0.625</v>
      </c>
      <c r="J59" s="33">
        <f t="shared" si="34"/>
        <v>0</v>
      </c>
      <c r="K59" s="33">
        <f t="shared" si="34"/>
        <v>0</v>
      </c>
      <c r="L59" s="29">
        <f t="shared" si="34"/>
        <v>0.625</v>
      </c>
      <c r="M59" s="33">
        <f t="shared" si="34"/>
        <v>0</v>
      </c>
      <c r="N59" s="34">
        <f t="shared" si="34"/>
        <v>0</v>
      </c>
      <c r="O59" s="34">
        <f>SUM(I59:N59)</f>
        <v>1.25</v>
      </c>
      <c r="P59" s="35">
        <f t="shared" si="58"/>
        <v>0.82</v>
      </c>
      <c r="Q59" s="36">
        <f t="shared" si="58"/>
        <v>0</v>
      </c>
      <c r="R59" s="37">
        <f t="shared" si="58"/>
        <v>0</v>
      </c>
      <c r="S59" s="35">
        <f t="shared" si="58"/>
        <v>0</v>
      </c>
      <c r="T59" s="36">
        <f t="shared" si="58"/>
        <v>0</v>
      </c>
      <c r="U59" s="37">
        <f t="shared" si="58"/>
        <v>0</v>
      </c>
      <c r="V59" s="36">
        <f>SUM(P59:U59)</f>
        <v>0.82</v>
      </c>
      <c r="W59" s="42">
        <f>IF(F59&lt;$X$1,MAX(F59,$W$1),0)</f>
        <v>45658</v>
      </c>
      <c r="X59" s="43">
        <f>IF(G59&gt;$W$1,MIN(G59,$X$1),0)</f>
        <v>45839</v>
      </c>
      <c r="Y59" s="44">
        <f>IF(W59=0,0,ROUND((VLOOKUP(YEAR(EDATE(W59,-2)),CPI!$A:$M,MONTH(EDATE(W59,-2))+1,FALSE)*(DAY(W59)-1)+VLOOKUP(YEAR(EDATE(W59,-3)),CPI!$A:$M,MONTH(EDATE(W59,-3))+1,FALSE)*(DAY(EOMONTH(W59,0))-DAY(W59)+1))/DAY(EOMONTH(W59,0)),5))</f>
        <v>315.66399999999999</v>
      </c>
      <c r="Z59" s="44">
        <f>IF(X59=0,0,ROUND((VLOOKUP(YEAR(EDATE(X59,-2)),CPI!$A:$M,MONTH(EDATE(X59,-2))+1,FALSE)*(DAY(X59)-1)+VLOOKUP(YEAR(EDATE(X59,-3)),CPI!$A:$M,MONTH(EDATE(X59,-3))+1,FALSE)*(DAY(EOMONTH(X59,0))-DAY(X59)+1))/DAY(EOMONTH(X59,0)),5))</f>
        <v>320.79500000000002</v>
      </c>
      <c r="AA59" s="44">
        <f>ROUND((VLOOKUP(YEAR(EDATE(F59,-2)),CPI!$A:$M,MONTH(EDATE(F59,-2))+1,FALSE)*(DAY(F59)-1)+VLOOKUP(YEAR(EDATE(F59,-3)),CPI!$A:$M,MONTH(EDATE(F59,-3))+1,FALSE)*(DAY(EOMONTH(F59,0))-DAY(F59)+1))/DAY(EOMONTH(F59,0)),5)</f>
        <v>240.14165</v>
      </c>
      <c r="AB59" s="45">
        <f>IF(G59&lt;D$1,E$1,IF(G59&gt;D$2,E$2,ROUND((VLOOKUP(YEAR(EDATE(G59,-2)),CPI!$A:$M,MONTH(EDATE(G59,-2))+1,FALSE)*(DAY(G59)-1)+VLOOKUP(YEAR(EDATE(G59,-3)),CPI!$A:$M,MONTH(EDATE(G59,-3))+1,FALSE)*(DAY(EOMONTH(G59,0))-DAY(G59)+1))/DAY(EOMONTH(G59,0)),5)))</f>
        <v>0</v>
      </c>
      <c r="AC59" s="60" t="str">
        <f t="shared" si="15"/>
        <v/>
      </c>
      <c r="AD59" s="46">
        <f t="shared" si="6"/>
        <v>21.400000000000084</v>
      </c>
      <c r="AE59" s="76">
        <f t="shared" si="16"/>
        <v>0</v>
      </c>
      <c r="AF59" s="71">
        <f t="shared" si="36"/>
        <v>1332.42</v>
      </c>
      <c r="AG59" s="71">
        <f t="shared" si="18"/>
        <v>0.55000000000000004</v>
      </c>
      <c r="AH59" s="87">
        <f t="shared" si="19"/>
        <v>1332.97</v>
      </c>
      <c r="AI59" s="115">
        <f t="shared" si="37"/>
        <v>99.062499999999986</v>
      </c>
      <c r="AJ59" s="36">
        <f t="shared" si="20"/>
        <v>1319.9285625</v>
      </c>
      <c r="AK59" s="37">
        <f t="shared" si="21"/>
        <v>1320.4785625</v>
      </c>
      <c r="AN59" s="8">
        <v>42566</v>
      </c>
      <c r="AO59" s="4" t="b">
        <f t="shared" si="22"/>
        <v>1</v>
      </c>
    </row>
    <row r="60" spans="1:41" x14ac:dyDescent="0.3">
      <c r="A60" s="29">
        <v>0.125</v>
      </c>
      <c r="B60" s="7">
        <v>5</v>
      </c>
      <c r="C60" s="8">
        <v>46310</v>
      </c>
      <c r="D60" s="149">
        <f t="shared" si="8"/>
        <v>44484</v>
      </c>
      <c r="E60" s="150">
        <f>ROUND((VLOOKUP(YEAR(EDATE(D60,-2)),CPI!$A:$M,MONTH(EDATE(D60,-2))+1,FALSE)*(DAY(D60)-1)+VLOOKUP(YEAR(EDATE(D60,-3)),CPI!$A:$M,MONTH(EDATE(D60,-3))+1,FALSE)*(DAY(EOMONTH(D60,0))-DAY(D60)+1))/DAY(EOMONTH(D60,0)),5)</f>
        <v>273.25770999999997</v>
      </c>
      <c r="F60" s="30">
        <v>44498</v>
      </c>
      <c r="G60" s="31">
        <v>46310</v>
      </c>
      <c r="H60" s="32">
        <v>1000</v>
      </c>
      <c r="I60" s="33">
        <f t="shared" si="59"/>
        <v>0</v>
      </c>
      <c r="J60" s="33">
        <f t="shared" si="59"/>
        <v>0</v>
      </c>
      <c r="K60" s="33">
        <f t="shared" si="59"/>
        <v>0.625</v>
      </c>
      <c r="L60" s="29">
        <f t="shared" si="59"/>
        <v>0</v>
      </c>
      <c r="M60" s="33">
        <f t="shared" si="59"/>
        <v>0</v>
      </c>
      <c r="N60" s="34">
        <f t="shared" si="59"/>
        <v>0.625</v>
      </c>
      <c r="O60" s="34">
        <f>SUM(I60:N60)</f>
        <v>1.25</v>
      </c>
      <c r="P60" s="35">
        <f t="shared" ref="P60" si="61">ROUND(ROUND(P$1/$E60,5)*I60,2)</f>
        <v>0</v>
      </c>
      <c r="Q60" s="36">
        <f t="shared" ref="Q60" si="62">ROUND(ROUND(Q$1/$E60,5)*J60,2)</f>
        <v>0</v>
      </c>
      <c r="R60" s="37">
        <f t="shared" ref="R60" si="63">ROUND(ROUND(R$1/$E60,5)*K60,2)</f>
        <v>0.73</v>
      </c>
      <c r="S60" s="35">
        <f t="shared" ref="S60" si="64">ROUND(ROUND(S$1/$E60,5)*L60,2)</f>
        <v>0</v>
      </c>
      <c r="T60" s="36">
        <f t="shared" ref="T60" si="65">ROUND(ROUND(T$1/$E60,5)*M60,2)</f>
        <v>0</v>
      </c>
      <c r="U60" s="37">
        <f t="shared" ref="U60" si="66">ROUND(ROUND(U$1/$E60,5)*N60,2)</f>
        <v>0</v>
      </c>
      <c r="V60" s="36">
        <f>SUM(P60:U60)</f>
        <v>0.73</v>
      </c>
      <c r="W60" s="42">
        <f>IF(F60&lt;$X$1,MAX(F60,$W$1),0)</f>
        <v>45658</v>
      </c>
      <c r="X60" s="43">
        <f>IF(G60&gt;$W$1,MIN(G60,$X$1),0)</f>
        <v>45839</v>
      </c>
      <c r="Y60" s="44">
        <f>IF(W60=0,0,ROUND((VLOOKUP(YEAR(EDATE(W60,-2)),CPI!$A:$M,MONTH(EDATE(W60,-2))+1,FALSE)*(DAY(W60)-1)+VLOOKUP(YEAR(EDATE(W60,-3)),CPI!$A:$M,MONTH(EDATE(W60,-3))+1,FALSE)*(DAY(EOMONTH(W60,0))-DAY(W60)+1))/DAY(EOMONTH(W60,0)),5))</f>
        <v>315.66399999999999</v>
      </c>
      <c r="Z60" s="44">
        <f>IF(X60=0,0,ROUND((VLOOKUP(YEAR(EDATE(X60,-2)),CPI!$A:$M,MONTH(EDATE(X60,-2))+1,FALSE)*(DAY(X60)-1)+VLOOKUP(YEAR(EDATE(X60,-3)),CPI!$A:$M,MONTH(EDATE(X60,-3))+1,FALSE)*(DAY(EOMONTH(X60,0))-DAY(X60)+1))/DAY(EOMONTH(X60,0)),5))</f>
        <v>320.79500000000002</v>
      </c>
      <c r="AA60" s="44">
        <f>ROUND((VLOOKUP(YEAR(EDATE(F60,-2)),CPI!$A:$M,MONTH(EDATE(F60,-2))+1,FALSE)*(DAY(F60)-1)+VLOOKUP(YEAR(EDATE(F60,-3)),CPI!$A:$M,MONTH(EDATE(F60,-3))+1,FALSE)*(DAY(EOMONTH(F60,0))-DAY(F60)+1))/DAY(EOMONTH(F60,0)),5)</f>
        <v>273.51242000000002</v>
      </c>
      <c r="AB60" s="45">
        <f>IF(G60&lt;D$1,E$1,IF(G60&gt;D$2,E$2,ROUND((VLOOKUP(YEAR(EDATE(G60,-2)),CPI!$A:$M,MONTH(EDATE(G60,-2))+1,FALSE)*(DAY(G60)-1)+VLOOKUP(YEAR(EDATE(G60,-3)),CPI!$A:$M,MONTH(EDATE(G60,-3))+1,FALSE)*(DAY(EOMONTH(G60,0))-DAY(G60)+1))/DAY(EOMONTH(G60,0)),5)))</f>
        <v>0</v>
      </c>
      <c r="AC60" s="60" t="str">
        <f t="shared" si="15"/>
        <v/>
      </c>
      <c r="AD60" s="46">
        <f t="shared" si="6"/>
        <v>18.780000000000019</v>
      </c>
      <c r="AE60" s="76">
        <f t="shared" si="16"/>
        <v>0</v>
      </c>
      <c r="AF60" s="71">
        <f t="shared" ref="AF60" si="67">IF(AND(F60&lt;=AH$2,AH$2&lt;=G60),ROUND(ROUND(AH$1/E60,5)*H60,2),0)</f>
        <v>1168.8</v>
      </c>
      <c r="AG60" s="71">
        <f t="shared" si="18"/>
        <v>0.12</v>
      </c>
      <c r="AH60" s="87">
        <f t="shared" si="19"/>
        <v>1168.9199999999998</v>
      </c>
      <c r="AI60" s="115">
        <f t="shared" si="37"/>
        <v>98.625000000000014</v>
      </c>
      <c r="AJ60" s="36">
        <f t="shared" si="20"/>
        <v>1152.7290000000003</v>
      </c>
      <c r="AK60" s="37">
        <f t="shared" si="21"/>
        <v>1152.8490000000002</v>
      </c>
      <c r="AN60" s="8">
        <v>44484</v>
      </c>
      <c r="AO60" s="4" t="b">
        <f t="shared" si="22"/>
        <v>1</v>
      </c>
    </row>
    <row r="61" spans="1:41" x14ac:dyDescent="0.3">
      <c r="A61" s="29">
        <v>2.375</v>
      </c>
      <c r="B61" s="7">
        <v>20</v>
      </c>
      <c r="C61" s="8">
        <v>46402</v>
      </c>
      <c r="D61" s="149">
        <f t="shared" si="8"/>
        <v>39097</v>
      </c>
      <c r="E61" s="150">
        <f>ROUND((VLOOKUP(YEAR(EDATE(D61,-2)),CPI!$A:$M,MONTH(EDATE(D61,-2))+1,FALSE)*(DAY(D61)-1)+VLOOKUP(YEAR(EDATE(D61,-3)),CPI!$A:$M,MONTH(EDATE(D61,-3))+1,FALSE)*(DAY(EOMONTH(D61,0))-DAY(D61)+1))/DAY(EOMONTH(D61,0)),5)</f>
        <v>201.66452000000001</v>
      </c>
      <c r="F61" s="30">
        <v>39113</v>
      </c>
      <c r="G61" s="31">
        <v>46402</v>
      </c>
      <c r="H61" s="32">
        <v>1000</v>
      </c>
      <c r="I61" s="33">
        <f t="shared" si="34"/>
        <v>11.875</v>
      </c>
      <c r="J61" s="33">
        <f t="shared" si="34"/>
        <v>0</v>
      </c>
      <c r="K61" s="33">
        <f t="shared" si="34"/>
        <v>0</v>
      </c>
      <c r="L61" s="29">
        <f t="shared" si="34"/>
        <v>11.875</v>
      </c>
      <c r="M61" s="33">
        <f t="shared" si="34"/>
        <v>0</v>
      </c>
      <c r="N61" s="34">
        <f t="shared" si="34"/>
        <v>0</v>
      </c>
      <c r="O61" s="34">
        <f t="shared" si="23"/>
        <v>23.75</v>
      </c>
      <c r="P61" s="35">
        <f t="shared" si="24"/>
        <v>18.579999999999998</v>
      </c>
      <c r="Q61" s="36">
        <f t="shared" si="25"/>
        <v>0</v>
      </c>
      <c r="R61" s="37">
        <f t="shared" si="26"/>
        <v>0</v>
      </c>
      <c r="S61" s="35">
        <f t="shared" si="27"/>
        <v>0</v>
      </c>
      <c r="T61" s="36">
        <f t="shared" si="28"/>
        <v>0</v>
      </c>
      <c r="U61" s="37">
        <f t="shared" si="29"/>
        <v>0</v>
      </c>
      <c r="V61" s="36">
        <f t="shared" si="30"/>
        <v>18.579999999999998</v>
      </c>
      <c r="W61" s="42">
        <f t="shared" si="31"/>
        <v>45658</v>
      </c>
      <c r="X61" s="43">
        <f t="shared" si="32"/>
        <v>45839</v>
      </c>
      <c r="Y61" s="44">
        <f>IF(W61=0,0,ROUND((VLOOKUP(YEAR(EDATE(W61,-2)),CPI!$A:$M,MONTH(EDATE(W61,-2))+1,FALSE)*(DAY(W61)-1)+VLOOKUP(YEAR(EDATE(W61,-3)),CPI!$A:$M,MONTH(EDATE(W61,-3))+1,FALSE)*(DAY(EOMONTH(W61,0))-DAY(W61)+1))/DAY(EOMONTH(W61,0)),5))</f>
        <v>315.66399999999999</v>
      </c>
      <c r="Z61" s="44">
        <f>IF(X61=0,0,ROUND((VLOOKUP(YEAR(EDATE(X61,-2)),CPI!$A:$M,MONTH(EDATE(X61,-2))+1,FALSE)*(DAY(X61)-1)+VLOOKUP(YEAR(EDATE(X61,-3)),CPI!$A:$M,MONTH(EDATE(X61,-3))+1,FALSE)*(DAY(EOMONTH(X61,0))-DAY(X61)+1))/DAY(EOMONTH(X61,0)),5))</f>
        <v>320.79500000000002</v>
      </c>
      <c r="AA61" s="44">
        <f>ROUND((VLOOKUP(YEAR(EDATE(F61,-2)),CPI!$A:$M,MONTH(EDATE(F61,-2))+1,FALSE)*(DAY(F61)-1)+VLOOKUP(YEAR(EDATE(F61,-3)),CPI!$A:$M,MONTH(EDATE(F61,-3))+1,FALSE)*(DAY(EOMONTH(F61,0))-DAY(F61)+1))/DAY(EOMONTH(F61,0)),5)</f>
        <v>201.50968</v>
      </c>
      <c r="AB61" s="45">
        <f>IF(G61&lt;D$1,E$1,IF(G61&gt;D$2,E$2,ROUND((VLOOKUP(YEAR(EDATE(G61,-2)),CPI!$A:$M,MONTH(EDATE(G61,-2))+1,FALSE)*(DAY(G61)-1)+VLOOKUP(YEAR(EDATE(G61,-3)),CPI!$A:$M,MONTH(EDATE(G61,-3))+1,FALSE)*(DAY(EOMONTH(G61,0))-DAY(G61)+1))/DAY(EOMONTH(G61,0)),5)))</f>
        <v>0</v>
      </c>
      <c r="AC61" s="60" t="str">
        <f t="shared" si="15"/>
        <v/>
      </c>
      <c r="AD61" s="46">
        <f t="shared" si="6"/>
        <v>25.449999999999974</v>
      </c>
      <c r="AE61" s="76">
        <f t="shared" si="16"/>
        <v>0</v>
      </c>
      <c r="AF61" s="71">
        <f t="shared" si="36"/>
        <v>1583.73</v>
      </c>
      <c r="AG61" s="71">
        <f t="shared" si="18"/>
        <v>12.36</v>
      </c>
      <c r="AH61" s="87">
        <f t="shared" si="19"/>
        <v>1596.09</v>
      </c>
      <c r="AI61" s="115">
        <f t="shared" si="37"/>
        <v>101.65624999999999</v>
      </c>
      <c r="AJ61" s="36">
        <f t="shared" si="20"/>
        <v>1609.9605281249997</v>
      </c>
      <c r="AK61" s="37">
        <f t="shared" si="21"/>
        <v>1622.3205281249996</v>
      </c>
      <c r="AN61" s="8">
        <v>39097</v>
      </c>
      <c r="AO61" s="4" t="b">
        <f t="shared" si="22"/>
        <v>1</v>
      </c>
    </row>
    <row r="62" spans="1:41" x14ac:dyDescent="0.3">
      <c r="A62" s="29">
        <v>0.375</v>
      </c>
      <c r="B62" s="7">
        <v>10</v>
      </c>
      <c r="C62" s="8">
        <v>46402</v>
      </c>
      <c r="D62" s="149">
        <f t="shared" si="8"/>
        <v>42750</v>
      </c>
      <c r="E62" s="150">
        <f>ROUND((VLOOKUP(YEAR(EDATE(D62,-2)),CPI!$A:$M,MONTH(EDATE(D62,-2))+1,FALSE)*(DAY(D62)-1)+VLOOKUP(YEAR(EDATE(D62,-3)),CPI!$A:$M,MONTH(EDATE(D62,-3))+1,FALSE)*(DAY(EOMONTH(D62,0))-DAY(D62)+1))/DAY(EOMONTH(D62,0)),5)</f>
        <v>241.55919</v>
      </c>
      <c r="F62" s="30">
        <v>42766</v>
      </c>
      <c r="G62" s="31">
        <v>46402</v>
      </c>
      <c r="H62" s="32">
        <v>1000</v>
      </c>
      <c r="I62" s="33">
        <f t="shared" si="34"/>
        <v>1.875</v>
      </c>
      <c r="J62" s="33">
        <f t="shared" si="34"/>
        <v>0</v>
      </c>
      <c r="K62" s="33">
        <f t="shared" si="34"/>
        <v>0</v>
      </c>
      <c r="L62" s="29">
        <f t="shared" si="34"/>
        <v>1.875</v>
      </c>
      <c r="M62" s="33">
        <f t="shared" si="34"/>
        <v>0</v>
      </c>
      <c r="N62" s="34">
        <f t="shared" si="34"/>
        <v>0</v>
      </c>
      <c r="O62" s="34">
        <f>SUM(I62:N62)</f>
        <v>3.75</v>
      </c>
      <c r="P62" s="35">
        <f t="shared" si="24"/>
        <v>2.4500000000000002</v>
      </c>
      <c r="Q62" s="36">
        <f t="shared" si="25"/>
        <v>0</v>
      </c>
      <c r="R62" s="37">
        <f t="shared" si="26"/>
        <v>0</v>
      </c>
      <c r="S62" s="35">
        <f t="shared" si="27"/>
        <v>0</v>
      </c>
      <c r="T62" s="36">
        <f t="shared" si="28"/>
        <v>0</v>
      </c>
      <c r="U62" s="37">
        <f t="shared" si="29"/>
        <v>0</v>
      </c>
      <c r="V62" s="36">
        <f>SUM(P62:U62)</f>
        <v>2.4500000000000002</v>
      </c>
      <c r="W62" s="42">
        <f>IF(F62&lt;$X$1,MAX(F62,$W$1),0)</f>
        <v>45658</v>
      </c>
      <c r="X62" s="43">
        <f>IF(G62&gt;$W$1,MIN(G62,$X$1),0)</f>
        <v>45839</v>
      </c>
      <c r="Y62" s="44">
        <f>IF(W62=0,0,ROUND((VLOOKUP(YEAR(EDATE(W62,-2)),CPI!$A:$M,MONTH(EDATE(W62,-2))+1,FALSE)*(DAY(W62)-1)+VLOOKUP(YEAR(EDATE(W62,-3)),CPI!$A:$M,MONTH(EDATE(W62,-3))+1,FALSE)*(DAY(EOMONTH(W62,0))-DAY(W62)+1))/DAY(EOMONTH(W62,0)),5))</f>
        <v>315.66399999999999</v>
      </c>
      <c r="Z62" s="44">
        <f>IF(X62=0,0,ROUND((VLOOKUP(YEAR(EDATE(X62,-2)),CPI!$A:$M,MONTH(EDATE(X62,-2))+1,FALSE)*(DAY(X62)-1)+VLOOKUP(YEAR(EDATE(X62,-3)),CPI!$A:$M,MONTH(EDATE(X62,-3))+1,FALSE)*(DAY(EOMONTH(X62,0))-DAY(X62)+1))/DAY(EOMONTH(X62,0)),5))</f>
        <v>320.79500000000002</v>
      </c>
      <c r="AA62" s="44">
        <f>ROUND((VLOOKUP(YEAR(EDATE(F62,-2)),CPI!$A:$M,MONTH(EDATE(F62,-2))+1,FALSE)*(DAY(F62)-1)+VLOOKUP(YEAR(EDATE(F62,-3)),CPI!$A:$M,MONTH(EDATE(F62,-3))+1,FALSE)*(DAY(EOMONTH(F62,0))-DAY(F62)+1))/DAY(EOMONTH(F62,0)),5)</f>
        <v>241.36512999999999</v>
      </c>
      <c r="AB62" s="45">
        <f>IF(G62&lt;D$1,E$1,IF(G62&gt;D$2,E$2,ROUND((VLOOKUP(YEAR(EDATE(G62,-2)),CPI!$A:$M,MONTH(EDATE(G62,-2))+1,FALSE)*(DAY(G62)-1)+VLOOKUP(YEAR(EDATE(G62,-3)),CPI!$A:$M,MONTH(EDATE(G62,-3))+1,FALSE)*(DAY(EOMONTH(G62,0))-DAY(G62)+1))/DAY(EOMONTH(G62,0)),5)))</f>
        <v>0</v>
      </c>
      <c r="AC62" s="60" t="str">
        <f t="shared" si="15"/>
        <v/>
      </c>
      <c r="AD62" s="46">
        <f t="shared" si="6"/>
        <v>21.239999999999924</v>
      </c>
      <c r="AE62" s="76">
        <f t="shared" si="16"/>
        <v>0</v>
      </c>
      <c r="AF62" s="71">
        <f t="shared" si="36"/>
        <v>1322.17</v>
      </c>
      <c r="AG62" s="71">
        <f t="shared" si="18"/>
        <v>1.63</v>
      </c>
      <c r="AH62" s="87">
        <f t="shared" si="19"/>
        <v>1323.8000000000002</v>
      </c>
      <c r="AI62" s="115">
        <f t="shared" si="37"/>
        <v>98.34375</v>
      </c>
      <c r="AJ62" s="36">
        <f t="shared" si="20"/>
        <v>1300.2715593749999</v>
      </c>
      <c r="AK62" s="37">
        <f t="shared" si="21"/>
        <v>1301.901559375</v>
      </c>
      <c r="AN62" s="8">
        <v>42750</v>
      </c>
      <c r="AO62" s="4" t="b">
        <f t="shared" si="22"/>
        <v>1</v>
      </c>
    </row>
    <row r="63" spans="1:41" x14ac:dyDescent="0.3">
      <c r="A63" s="29">
        <v>0.125</v>
      </c>
      <c r="B63" s="7">
        <v>5</v>
      </c>
      <c r="C63" s="8">
        <v>46492</v>
      </c>
      <c r="D63" s="149">
        <f t="shared" si="8"/>
        <v>44666</v>
      </c>
      <c r="E63" s="150">
        <f>ROUND((VLOOKUP(YEAR(EDATE(D63,-2)),CPI!$A:$M,MONTH(EDATE(D63,-2))+1,FALSE)*(DAY(D63)-1)+VLOOKUP(YEAR(EDATE(D63,-3)),CPI!$A:$M,MONTH(EDATE(D63,-3))+1,FALSE)*(DAY(EOMONTH(D63,0))-DAY(D63)+1))/DAY(EOMONTH(D63,0)),5)</f>
        <v>282.34640000000002</v>
      </c>
      <c r="F63" s="30">
        <v>44680</v>
      </c>
      <c r="G63" s="31">
        <v>46492</v>
      </c>
      <c r="H63" s="32">
        <v>1000</v>
      </c>
      <c r="I63" s="33">
        <f t="shared" ref="I63:N63" si="68">IF(AND($F63&lt;I$3,I$3&lt;=$G63,MOD(MONTH($C63),6)=MOD(MONTH(I$3),6)),$H63*($A63/200),0)</f>
        <v>0</v>
      </c>
      <c r="J63" s="33">
        <f t="shared" si="68"/>
        <v>0</v>
      </c>
      <c r="K63" s="33">
        <f t="shared" si="68"/>
        <v>0.625</v>
      </c>
      <c r="L63" s="29">
        <f t="shared" si="68"/>
        <v>0</v>
      </c>
      <c r="M63" s="33">
        <f t="shared" si="68"/>
        <v>0</v>
      </c>
      <c r="N63" s="34">
        <f t="shared" si="68"/>
        <v>0.625</v>
      </c>
      <c r="O63" s="34">
        <f>SUM(I63:N63)</f>
        <v>1.25</v>
      </c>
      <c r="P63" s="35">
        <f t="shared" ref="P63" si="69">ROUND(ROUND(P$1/$E63,5)*I63,2)</f>
        <v>0</v>
      </c>
      <c r="Q63" s="36">
        <f t="shared" ref="Q63" si="70">ROUND(ROUND(Q$1/$E63,5)*J63,2)</f>
        <v>0</v>
      </c>
      <c r="R63" s="37">
        <f t="shared" ref="R63" si="71">ROUND(ROUND(R$1/$E63,5)*K63,2)</f>
        <v>0.7</v>
      </c>
      <c r="S63" s="35">
        <f t="shared" ref="S63" si="72">ROUND(ROUND(S$1/$E63,5)*L63,2)</f>
        <v>0</v>
      </c>
      <c r="T63" s="36">
        <f t="shared" ref="T63" si="73">ROUND(ROUND(T$1/$E63,5)*M63,2)</f>
        <v>0</v>
      </c>
      <c r="U63" s="37">
        <f t="shared" ref="U63" si="74">ROUND(ROUND(U$1/$E63,5)*N63,2)</f>
        <v>0</v>
      </c>
      <c r="V63" s="36">
        <f>SUM(P63:U63)</f>
        <v>0.7</v>
      </c>
      <c r="W63" s="42">
        <f>IF(F63&lt;$X$1,MAX(F63,$W$1),0)</f>
        <v>45658</v>
      </c>
      <c r="X63" s="43">
        <f>IF(G63&gt;$W$1,MIN(G63,$X$1),0)</f>
        <v>45839</v>
      </c>
      <c r="Y63" s="44">
        <f>IF(W63=0,0,ROUND((VLOOKUP(YEAR(EDATE(W63,-2)),CPI!$A:$M,MONTH(EDATE(W63,-2))+1,FALSE)*(DAY(W63)-1)+VLOOKUP(YEAR(EDATE(W63,-3)),CPI!$A:$M,MONTH(EDATE(W63,-3))+1,FALSE)*(DAY(EOMONTH(W63,0))-DAY(W63)+1))/DAY(EOMONTH(W63,0)),5))</f>
        <v>315.66399999999999</v>
      </c>
      <c r="Z63" s="44">
        <f>IF(X63=0,0,ROUND((VLOOKUP(YEAR(EDATE(X63,-2)),CPI!$A:$M,MONTH(EDATE(X63,-2))+1,FALSE)*(DAY(X63)-1)+VLOOKUP(YEAR(EDATE(X63,-3)),CPI!$A:$M,MONTH(EDATE(X63,-3))+1,FALSE)*(DAY(EOMONTH(X63,0))-DAY(X63)+1))/DAY(EOMONTH(X63,0)),5))</f>
        <v>320.79500000000002</v>
      </c>
      <c r="AA63" s="44">
        <f>ROUND((VLOOKUP(YEAR(EDATE(F63,-2)),CPI!$A:$M,MONTH(EDATE(F63,-2))+1,FALSE)*(DAY(F63)-1)+VLOOKUP(YEAR(EDATE(F63,-3)),CPI!$A:$M,MONTH(EDATE(F63,-3))+1,FALSE)*(DAY(EOMONTH(F63,0))-DAY(F63)+1))/DAY(EOMONTH(F63,0)),5)</f>
        <v>283.54480000000001</v>
      </c>
      <c r="AB63" s="45">
        <f>IF(G63&lt;D$1,E$1,IF(G63&gt;D$2,E$2,ROUND((VLOOKUP(YEAR(EDATE(G63,-2)),CPI!$A:$M,MONTH(EDATE(G63,-2))+1,FALSE)*(DAY(G63)-1)+VLOOKUP(YEAR(EDATE(G63,-3)),CPI!$A:$M,MONTH(EDATE(G63,-3))+1,FALSE)*(DAY(EOMONTH(G63,0))-DAY(G63)+1))/DAY(EOMONTH(G63,0)),5)))</f>
        <v>0</v>
      </c>
      <c r="AC63" s="60" t="str">
        <f t="shared" si="15"/>
        <v/>
      </c>
      <c r="AD63" s="46">
        <f t="shared" si="6"/>
        <v>18.179999999999865</v>
      </c>
      <c r="AE63" s="76">
        <f t="shared" si="16"/>
        <v>0</v>
      </c>
      <c r="AF63" s="71">
        <f t="shared" ref="AF63" si="75">IF(AND(F63&lt;=AH$2,AH$2&lt;=G63),ROUND(ROUND(AH$1/E63,5)*H63,2),0)</f>
        <v>1131.17</v>
      </c>
      <c r="AG63" s="71">
        <f t="shared" si="18"/>
        <v>0.11</v>
      </c>
      <c r="AH63" s="87">
        <f t="shared" ref="AH63" si="76">AF63+AG63</f>
        <v>1131.28</v>
      </c>
      <c r="AI63" s="115">
        <f t="shared" si="37"/>
        <v>97.53125</v>
      </c>
      <c r="AJ63" s="36">
        <f t="shared" si="20"/>
        <v>1103.2442406250002</v>
      </c>
      <c r="AK63" s="37">
        <f t="shared" si="21"/>
        <v>1103.3542406250001</v>
      </c>
      <c r="AN63" s="8">
        <v>44666</v>
      </c>
      <c r="AO63" s="4" t="b">
        <f t="shared" si="22"/>
        <v>1</v>
      </c>
    </row>
    <row r="64" spans="1:41" x14ac:dyDescent="0.3">
      <c r="A64" s="29">
        <v>0.375</v>
      </c>
      <c r="B64" s="7">
        <v>10</v>
      </c>
      <c r="C64" s="8">
        <v>46583</v>
      </c>
      <c r="D64" s="149">
        <f t="shared" si="8"/>
        <v>42931</v>
      </c>
      <c r="E64" s="150">
        <f>ROUND((VLOOKUP(YEAR(EDATE(D64,-2)),CPI!$A:$M,MONTH(EDATE(D64,-2))+1,FALSE)*(DAY(D64)-1)+VLOOKUP(YEAR(EDATE(D64,-3)),CPI!$A:$M,MONTH(EDATE(D64,-3))+1,FALSE)*(DAY(EOMONTH(D64,0))-DAY(D64)+1))/DAY(EOMONTH(D64,0)),5)</f>
        <v>244.61839000000001</v>
      </c>
      <c r="F64" s="30">
        <v>42947</v>
      </c>
      <c r="G64" s="31">
        <v>46583</v>
      </c>
      <c r="H64" s="32">
        <v>1000</v>
      </c>
      <c r="I64" s="33">
        <f t="shared" si="34"/>
        <v>1.875</v>
      </c>
      <c r="J64" s="33">
        <f t="shared" si="34"/>
        <v>0</v>
      </c>
      <c r="K64" s="33">
        <f t="shared" si="34"/>
        <v>0</v>
      </c>
      <c r="L64" s="29">
        <f t="shared" si="34"/>
        <v>1.875</v>
      </c>
      <c r="M64" s="33">
        <f t="shared" si="34"/>
        <v>0</v>
      </c>
      <c r="N64" s="34">
        <f t="shared" si="34"/>
        <v>0</v>
      </c>
      <c r="O64" s="34">
        <f>SUM(I64:N64)</f>
        <v>3.75</v>
      </c>
      <c r="P64" s="35">
        <f t="shared" si="24"/>
        <v>2.42</v>
      </c>
      <c r="Q64" s="36">
        <f t="shared" si="25"/>
        <v>0</v>
      </c>
      <c r="R64" s="37">
        <f t="shared" si="26"/>
        <v>0</v>
      </c>
      <c r="S64" s="35">
        <f t="shared" si="27"/>
        <v>0</v>
      </c>
      <c r="T64" s="36">
        <f t="shared" si="28"/>
        <v>0</v>
      </c>
      <c r="U64" s="37">
        <f t="shared" si="29"/>
        <v>0</v>
      </c>
      <c r="V64" s="36">
        <f>SUM(P64:U64)</f>
        <v>2.42</v>
      </c>
      <c r="W64" s="42">
        <f>IF(F64&lt;$X$1,MAX(F64,$W$1),0)</f>
        <v>45658</v>
      </c>
      <c r="X64" s="43">
        <f>IF(G64&gt;$W$1,MIN(G64,$X$1),0)</f>
        <v>45839</v>
      </c>
      <c r="Y64" s="44">
        <f>IF(W64=0,0,ROUND((VLOOKUP(YEAR(EDATE(W64,-2)),CPI!$A:$M,MONTH(EDATE(W64,-2))+1,FALSE)*(DAY(W64)-1)+VLOOKUP(YEAR(EDATE(W64,-3)),CPI!$A:$M,MONTH(EDATE(W64,-3))+1,FALSE)*(DAY(EOMONTH(W64,0))-DAY(W64)+1))/DAY(EOMONTH(W64,0)),5))</f>
        <v>315.66399999999999</v>
      </c>
      <c r="Z64" s="44">
        <f>IF(X64=0,0,ROUND((VLOOKUP(YEAR(EDATE(X64,-2)),CPI!$A:$M,MONTH(EDATE(X64,-2))+1,FALSE)*(DAY(X64)-1)+VLOOKUP(YEAR(EDATE(X64,-3)),CPI!$A:$M,MONTH(EDATE(X64,-3))+1,FALSE)*(DAY(EOMONTH(X64,0))-DAY(X64)+1))/DAY(EOMONTH(X64,0)),5))</f>
        <v>320.79500000000002</v>
      </c>
      <c r="AA64" s="44">
        <f>ROUND((VLOOKUP(YEAR(EDATE(F64,-2)),CPI!$A:$M,MONTH(EDATE(F64,-2))+1,FALSE)*(DAY(F64)-1)+VLOOKUP(YEAR(EDATE(F64,-3)),CPI!$A:$M,MONTH(EDATE(F64,-3))+1,FALSE)*(DAY(EOMONTH(F64,0))-DAY(F64)+1))/DAY(EOMONTH(F64,0)),5)</f>
        <v>244.72626</v>
      </c>
      <c r="AB64" s="45">
        <f>IF(G64&lt;D$1,E$1,IF(G64&gt;D$2,E$2,ROUND((VLOOKUP(YEAR(EDATE(G64,-2)),CPI!$A:$M,MONTH(EDATE(G64,-2))+1,FALSE)*(DAY(G64)-1)+VLOOKUP(YEAR(EDATE(G64,-3)),CPI!$A:$M,MONTH(EDATE(G64,-3))+1,FALSE)*(DAY(EOMONTH(G64,0))-DAY(G64)+1))/DAY(EOMONTH(G64,0)),5)))</f>
        <v>0</v>
      </c>
      <c r="AC64" s="60" t="str">
        <f t="shared" si="15"/>
        <v/>
      </c>
      <c r="AD64" s="46">
        <f t="shared" si="6"/>
        <v>20.979999999999997</v>
      </c>
      <c r="AE64" s="76">
        <f t="shared" si="16"/>
        <v>0</v>
      </c>
      <c r="AF64" s="71">
        <f t="shared" si="36"/>
        <v>1305.6400000000001</v>
      </c>
      <c r="AG64" s="71">
        <f t="shared" si="18"/>
        <v>1.61</v>
      </c>
      <c r="AH64" s="87">
        <f t="shared" si="19"/>
        <v>1307.25</v>
      </c>
      <c r="AI64" s="115">
        <f t="shared" si="37"/>
        <v>98.281250000000014</v>
      </c>
      <c r="AJ64" s="36">
        <f t="shared" si="20"/>
        <v>1283.1993125000001</v>
      </c>
      <c r="AK64" s="37">
        <f t="shared" si="21"/>
        <v>1284.8093125</v>
      </c>
      <c r="AN64" s="8">
        <v>42931</v>
      </c>
      <c r="AO64" s="4" t="b">
        <f t="shared" si="22"/>
        <v>1</v>
      </c>
    </row>
    <row r="65" spans="1:41" x14ac:dyDescent="0.3">
      <c r="A65" s="29">
        <v>1.625</v>
      </c>
      <c r="B65" s="7">
        <v>5</v>
      </c>
      <c r="C65" s="8">
        <v>46675</v>
      </c>
      <c r="D65" s="149">
        <f t="shared" si="8"/>
        <v>44849</v>
      </c>
      <c r="E65" s="150">
        <f>ROUND((VLOOKUP(YEAR(EDATE(D65,-2)),CPI!$A:$M,MONTH(EDATE(D65,-2))+1,FALSE)*(DAY(D65)-1)+VLOOKUP(YEAR(EDATE(D65,-3)),CPI!$A:$M,MONTH(EDATE(D65,-3))+1,FALSE)*(DAY(EOMONTH(D65,0))-DAY(D65)+1))/DAY(EOMONTH(D65,0)),5)</f>
        <v>296.22858000000002</v>
      </c>
      <c r="F65" s="30">
        <v>44865</v>
      </c>
      <c r="G65" s="31">
        <v>46675</v>
      </c>
      <c r="H65" s="32">
        <v>1000</v>
      </c>
      <c r="I65" s="33">
        <f t="shared" ref="I65:N65" si="77">IF(AND($F65&lt;I$3,I$3&lt;=$G65,MOD(MONTH($C65),6)=MOD(MONTH(I$3),6)),$H65*($A65/200),0)</f>
        <v>0</v>
      </c>
      <c r="J65" s="33">
        <f t="shared" si="77"/>
        <v>0</v>
      </c>
      <c r="K65" s="33">
        <f t="shared" si="77"/>
        <v>8.125</v>
      </c>
      <c r="L65" s="29">
        <f t="shared" si="77"/>
        <v>0</v>
      </c>
      <c r="M65" s="33">
        <f t="shared" si="77"/>
        <v>0</v>
      </c>
      <c r="N65" s="34">
        <f t="shared" si="77"/>
        <v>8.125</v>
      </c>
      <c r="O65" s="34">
        <f t="shared" ref="O65" si="78">SUM(I65:N65)</f>
        <v>16.25</v>
      </c>
      <c r="P65" s="35">
        <f t="shared" ref="P65" si="79">ROUND(ROUND(P$1/$E65,5)*I65,2)</f>
        <v>0</v>
      </c>
      <c r="Q65" s="36">
        <f t="shared" ref="Q65" si="80">ROUND(ROUND(Q$1/$E65,5)*J65,2)</f>
        <v>0</v>
      </c>
      <c r="R65" s="37">
        <f t="shared" ref="R65" si="81">ROUND(ROUND(R$1/$E65,5)*K65,2)</f>
        <v>8.73</v>
      </c>
      <c r="S65" s="35">
        <f t="shared" ref="S65" si="82">ROUND(ROUND(S$1/$E65,5)*L65,2)</f>
        <v>0</v>
      </c>
      <c r="T65" s="36">
        <f t="shared" ref="T65" si="83">ROUND(ROUND(T$1/$E65,5)*M65,2)</f>
        <v>0</v>
      </c>
      <c r="U65" s="37">
        <f t="shared" ref="U65" si="84">ROUND(ROUND(U$1/$E65,5)*N65,2)</f>
        <v>0</v>
      </c>
      <c r="V65" s="36">
        <f t="shared" ref="V65" si="85">SUM(P65:U65)</f>
        <v>8.73</v>
      </c>
      <c r="W65" s="42">
        <f t="shared" ref="W65" si="86">IF(F65&lt;$X$1,MAX(F65,$W$1),0)</f>
        <v>45658</v>
      </c>
      <c r="X65" s="43">
        <f t="shared" ref="X65" si="87">IF(G65&gt;$W$1,MIN(G65,$X$1),0)</f>
        <v>45839</v>
      </c>
      <c r="Y65" s="44">
        <f>IF(W65=0,0,ROUND((VLOOKUP(YEAR(EDATE(W65,-2)),CPI!$A:$M,MONTH(EDATE(W65,-2))+1,FALSE)*(DAY(W65)-1)+VLOOKUP(YEAR(EDATE(W65,-3)),CPI!$A:$M,MONTH(EDATE(W65,-3))+1,FALSE)*(DAY(EOMONTH(W65,0))-DAY(W65)+1))/DAY(EOMONTH(W65,0)),5))</f>
        <v>315.66399999999999</v>
      </c>
      <c r="Z65" s="44">
        <f>IF(X65=0,0,ROUND((VLOOKUP(YEAR(EDATE(X65,-2)),CPI!$A:$M,MONTH(EDATE(X65,-2))+1,FALSE)*(DAY(X65)-1)+VLOOKUP(YEAR(EDATE(X65,-3)),CPI!$A:$M,MONTH(EDATE(X65,-3))+1,FALSE)*(DAY(EOMONTH(X65,0))-DAY(X65)+1))/DAY(EOMONTH(X65,0)),5))</f>
        <v>320.79500000000002</v>
      </c>
      <c r="AA65" s="44">
        <f>ROUND((VLOOKUP(YEAR(EDATE(F65,-2)),CPI!$A:$M,MONTH(EDATE(F65,-2))+1,FALSE)*(DAY(F65)-1)+VLOOKUP(YEAR(EDATE(F65,-3)),CPI!$A:$M,MONTH(EDATE(F65,-3))+1,FALSE)*(DAY(EOMONTH(F65,0))-DAY(F65)+1))/DAY(EOMONTH(F65,0)),5)</f>
        <v>296.17439000000002</v>
      </c>
      <c r="AB65" s="45">
        <f>IF(G65&lt;D$1,E$1,IF(G65&gt;D$2,E$2,ROUND((VLOOKUP(YEAR(EDATE(G65,-2)),CPI!$A:$M,MONTH(EDATE(G65,-2))+1,FALSE)*(DAY(G65)-1)+VLOOKUP(YEAR(EDATE(G65,-3)),CPI!$A:$M,MONTH(EDATE(G65,-3))+1,FALSE)*(DAY(EOMONTH(G65,0))-DAY(G65)+1))/DAY(EOMONTH(G65,0)),5)))</f>
        <v>0</v>
      </c>
      <c r="AC65" s="60" t="str">
        <f t="shared" si="15"/>
        <v/>
      </c>
      <c r="AD65" s="46">
        <f t="shared" si="6"/>
        <v>17.32</v>
      </c>
      <c r="AE65" s="76">
        <f t="shared" si="16"/>
        <v>0</v>
      </c>
      <c r="AF65" s="71">
        <f t="shared" ref="AF65" si="88">IF(AND(F65&lt;=AH$2,AH$2&lt;=G65),ROUND(ROUND(AH$1/E65,5)*H65,2),0)</f>
        <v>1078.1600000000001</v>
      </c>
      <c r="AG65" s="71">
        <f t="shared" si="18"/>
        <v>1.39</v>
      </c>
      <c r="AH65" s="87">
        <f t="shared" ref="AH65" si="89">AF65+AG65</f>
        <v>1079.5500000000002</v>
      </c>
      <c r="AI65" s="115">
        <f t="shared" si="37"/>
        <v>100.84374999999999</v>
      </c>
      <c r="AJ65" s="36">
        <f t="shared" si="20"/>
        <v>1087.256975</v>
      </c>
      <c r="AK65" s="37">
        <f t="shared" si="21"/>
        <v>1088.6469750000001</v>
      </c>
      <c r="AN65" s="8">
        <v>44849</v>
      </c>
      <c r="AO65" s="4" t="b">
        <f t="shared" si="22"/>
        <v>1</v>
      </c>
    </row>
    <row r="66" spans="1:41" x14ac:dyDescent="0.3">
      <c r="A66" s="29">
        <v>1.75</v>
      </c>
      <c r="B66" s="7">
        <v>20</v>
      </c>
      <c r="C66" s="8">
        <v>46767</v>
      </c>
      <c r="D66" s="149">
        <f t="shared" si="8"/>
        <v>39462</v>
      </c>
      <c r="E66" s="150">
        <f>ROUND((VLOOKUP(YEAR(EDATE(D66,-2)),CPI!$A:$M,MONTH(EDATE(D66,-2))+1,FALSE)*(DAY(D66)-1)+VLOOKUP(YEAR(EDATE(D66,-3)),CPI!$A:$M,MONTH(EDATE(D66,-3))+1,FALSE)*(DAY(EOMONTH(D66,0))-DAY(D66)+1))/DAY(EOMONTH(D66,0)),5)</f>
        <v>209.49645000000001</v>
      </c>
      <c r="F66" s="30">
        <v>39478</v>
      </c>
      <c r="G66" s="31">
        <v>46767</v>
      </c>
      <c r="H66" s="32">
        <v>1000</v>
      </c>
      <c r="I66" s="33">
        <f t="shared" si="34"/>
        <v>8.75</v>
      </c>
      <c r="J66" s="33">
        <f t="shared" si="34"/>
        <v>0</v>
      </c>
      <c r="K66" s="33">
        <f t="shared" si="34"/>
        <v>0</v>
      </c>
      <c r="L66" s="29">
        <f t="shared" si="34"/>
        <v>8.75</v>
      </c>
      <c r="M66" s="33">
        <f t="shared" si="34"/>
        <v>0</v>
      </c>
      <c r="N66" s="34">
        <f t="shared" si="34"/>
        <v>0</v>
      </c>
      <c r="O66" s="34">
        <f t="shared" si="23"/>
        <v>17.5</v>
      </c>
      <c r="P66" s="35">
        <f t="shared" si="24"/>
        <v>13.18</v>
      </c>
      <c r="Q66" s="36">
        <f t="shared" si="25"/>
        <v>0</v>
      </c>
      <c r="R66" s="37">
        <f t="shared" si="26"/>
        <v>0</v>
      </c>
      <c r="S66" s="35">
        <f t="shared" si="27"/>
        <v>0</v>
      </c>
      <c r="T66" s="36">
        <f t="shared" si="28"/>
        <v>0</v>
      </c>
      <c r="U66" s="37">
        <f t="shared" si="29"/>
        <v>0</v>
      </c>
      <c r="V66" s="36">
        <f t="shared" si="30"/>
        <v>13.18</v>
      </c>
      <c r="W66" s="42">
        <f t="shared" si="31"/>
        <v>45658</v>
      </c>
      <c r="X66" s="43">
        <f t="shared" si="32"/>
        <v>45839</v>
      </c>
      <c r="Y66" s="44">
        <f>IF(W66=0,0,ROUND((VLOOKUP(YEAR(EDATE(W66,-2)),CPI!$A:$M,MONTH(EDATE(W66,-2))+1,FALSE)*(DAY(W66)-1)+VLOOKUP(YEAR(EDATE(W66,-3)),CPI!$A:$M,MONTH(EDATE(W66,-3))+1,FALSE)*(DAY(EOMONTH(W66,0))-DAY(W66)+1))/DAY(EOMONTH(W66,0)),5))</f>
        <v>315.66399999999999</v>
      </c>
      <c r="Z66" s="44">
        <f>IF(X66=0,0,ROUND((VLOOKUP(YEAR(EDATE(X66,-2)),CPI!$A:$M,MONTH(EDATE(X66,-2))+1,FALSE)*(DAY(X66)-1)+VLOOKUP(YEAR(EDATE(X66,-3)),CPI!$A:$M,MONTH(EDATE(X66,-3))+1,FALSE)*(DAY(EOMONTH(X66,0))-DAY(X66)+1))/DAY(EOMONTH(X66,0)),5))</f>
        <v>320.79500000000002</v>
      </c>
      <c r="AA66" s="44">
        <f>ROUND((VLOOKUP(YEAR(EDATE(F66,-2)),CPI!$A:$M,MONTH(EDATE(F66,-2))+1,FALSE)*(DAY(F66)-1)+VLOOKUP(YEAR(EDATE(F66,-3)),CPI!$A:$M,MONTH(EDATE(F66,-3))+1,FALSE)*(DAY(EOMONTH(F66,0))-DAY(F66)+1))/DAY(EOMONTH(F66,0)),5)</f>
        <v>210.13696999999999</v>
      </c>
      <c r="AB66" s="45">
        <f>IF(G66&lt;D$1,E$1,IF(G66&gt;D$2,E$2,ROUND((VLOOKUP(YEAR(EDATE(G66,-2)),CPI!$A:$M,MONTH(EDATE(G66,-2))+1,FALSE)*(DAY(G66)-1)+VLOOKUP(YEAR(EDATE(G66,-3)),CPI!$A:$M,MONTH(EDATE(G66,-3))+1,FALSE)*(DAY(EOMONTH(G66,0))-DAY(G66)+1))/DAY(EOMONTH(G66,0)),5)))</f>
        <v>0</v>
      </c>
      <c r="AC66" s="60" t="str">
        <f t="shared" si="15"/>
        <v/>
      </c>
      <c r="AD66" s="46">
        <f t="shared" si="6"/>
        <v>24.499999999999964</v>
      </c>
      <c r="AE66" s="76">
        <f t="shared" si="16"/>
        <v>0</v>
      </c>
      <c r="AF66" s="71">
        <f t="shared" si="36"/>
        <v>1524.53</v>
      </c>
      <c r="AG66" s="71">
        <f t="shared" si="18"/>
        <v>8.77</v>
      </c>
      <c r="AH66" s="87">
        <f t="shared" si="19"/>
        <v>1533.3</v>
      </c>
      <c r="AI66" s="115">
        <f t="shared" si="37"/>
        <v>100.81250000000001</v>
      </c>
      <c r="AJ66" s="36">
        <f t="shared" si="20"/>
        <v>1536.9168062500003</v>
      </c>
      <c r="AK66" s="37">
        <f t="shared" si="21"/>
        <v>1545.6868062500002</v>
      </c>
      <c r="AN66" s="8">
        <v>39462</v>
      </c>
      <c r="AO66" s="4" t="b">
        <f t="shared" si="22"/>
        <v>1</v>
      </c>
    </row>
    <row r="67" spans="1:41" x14ac:dyDescent="0.3">
      <c r="A67" s="29">
        <v>0.5</v>
      </c>
      <c r="B67" s="7">
        <v>10</v>
      </c>
      <c r="C67" s="8">
        <v>46767</v>
      </c>
      <c r="D67" s="149">
        <f t="shared" si="8"/>
        <v>43115</v>
      </c>
      <c r="E67" s="150">
        <f>ROUND((VLOOKUP(YEAR(EDATE(D67,-2)),CPI!$A:$M,MONTH(EDATE(D67,-2))+1,FALSE)*(DAY(D67)-1)+VLOOKUP(YEAR(EDATE(D67,-3)),CPI!$A:$M,MONTH(EDATE(D67,-3))+1,FALSE)*(DAY(EOMONTH(D67,0))-DAY(D67)+1))/DAY(EOMONTH(D67,0)),5)</f>
        <v>246.66570999999999</v>
      </c>
      <c r="F67" s="30">
        <v>43131</v>
      </c>
      <c r="G67" s="31">
        <v>46767</v>
      </c>
      <c r="H67" s="32">
        <v>1000</v>
      </c>
      <c r="I67" s="33">
        <f t="shared" si="34"/>
        <v>2.5</v>
      </c>
      <c r="J67" s="33">
        <f t="shared" si="34"/>
        <v>0</v>
      </c>
      <c r="K67" s="33">
        <f t="shared" si="34"/>
        <v>0</v>
      </c>
      <c r="L67" s="29">
        <f t="shared" si="34"/>
        <v>2.5</v>
      </c>
      <c r="M67" s="33">
        <f t="shared" si="34"/>
        <v>0</v>
      </c>
      <c r="N67" s="34">
        <f t="shared" si="34"/>
        <v>0</v>
      </c>
      <c r="O67" s="34">
        <f t="shared" si="23"/>
        <v>5</v>
      </c>
      <c r="P67" s="35">
        <f t="shared" ref="P67" si="90">ROUND(ROUND(P$1/$E67,5)*I67,2)</f>
        <v>3.2</v>
      </c>
      <c r="Q67" s="36">
        <f t="shared" ref="Q67" si="91">ROUND(ROUND(Q$1/$E67,5)*J67,2)</f>
        <v>0</v>
      </c>
      <c r="R67" s="37">
        <f t="shared" ref="R67" si="92">ROUND(ROUND(R$1/$E67,5)*K67,2)</f>
        <v>0</v>
      </c>
      <c r="S67" s="35">
        <f t="shared" ref="S67" si="93">ROUND(ROUND(S$1/$E67,5)*L67,2)</f>
        <v>0</v>
      </c>
      <c r="T67" s="36">
        <f t="shared" ref="T67" si="94">ROUND(ROUND(T$1/$E67,5)*M67,2)</f>
        <v>0</v>
      </c>
      <c r="U67" s="37">
        <f t="shared" ref="U67" si="95">ROUND(ROUND(U$1/$E67,5)*N67,2)</f>
        <v>0</v>
      </c>
      <c r="V67" s="36">
        <f t="shared" ref="V67" si="96">SUM(P67:U67)</f>
        <v>3.2</v>
      </c>
      <c r="W67" s="42">
        <f t="shared" ref="W67" si="97">IF(F67&lt;$X$1,MAX(F67,$W$1),0)</f>
        <v>45658</v>
      </c>
      <c r="X67" s="43">
        <f t="shared" ref="X67" si="98">IF(G67&gt;$W$1,MIN(G67,$X$1),0)</f>
        <v>45839</v>
      </c>
      <c r="Y67" s="44">
        <f>IF(W67=0,0,ROUND((VLOOKUP(YEAR(EDATE(W67,-2)),CPI!$A:$M,MONTH(EDATE(W67,-2))+1,FALSE)*(DAY(W67)-1)+VLOOKUP(YEAR(EDATE(W67,-3)),CPI!$A:$M,MONTH(EDATE(W67,-3))+1,FALSE)*(DAY(EOMONTH(W67,0))-DAY(W67)+1))/DAY(EOMONTH(W67,0)),5))</f>
        <v>315.66399999999999</v>
      </c>
      <c r="Z67" s="44">
        <f>IF(X67=0,0,ROUND((VLOOKUP(YEAR(EDATE(X67,-2)),CPI!$A:$M,MONTH(EDATE(X67,-2))+1,FALSE)*(DAY(X67)-1)+VLOOKUP(YEAR(EDATE(X67,-3)),CPI!$A:$M,MONTH(EDATE(X67,-3))+1,FALSE)*(DAY(EOMONTH(X67,0))-DAY(X67)+1))/DAY(EOMONTH(X67,0)),5))</f>
        <v>320.79500000000002</v>
      </c>
      <c r="AA67" s="44">
        <f>ROUND((VLOOKUP(YEAR(EDATE(F67,-2)),CPI!$A:$M,MONTH(EDATE(F67,-2))+1,FALSE)*(DAY(F67)-1)+VLOOKUP(YEAR(EDATE(F67,-3)),CPI!$A:$M,MONTH(EDATE(F67,-3))+1,FALSE)*(DAY(EOMONTH(F67,0))-DAY(F67)+1))/DAY(EOMONTH(F67,0)),5)</f>
        <v>246.66881000000001</v>
      </c>
      <c r="AB67" s="45">
        <f>IF(G67&lt;D$1,E$1,IF(G67&gt;D$2,E$2,ROUND((VLOOKUP(YEAR(EDATE(G67,-2)),CPI!$A:$M,MONTH(EDATE(G67,-2))+1,FALSE)*(DAY(G67)-1)+VLOOKUP(YEAR(EDATE(G67,-3)),CPI!$A:$M,MONTH(EDATE(G67,-3))+1,FALSE)*(DAY(EOMONTH(G67,0))-DAY(G67)+1))/DAY(EOMONTH(G67,0)),5)))</f>
        <v>0</v>
      </c>
      <c r="AC67" s="60" t="str">
        <f t="shared" si="15"/>
        <v/>
      </c>
      <c r="AD67" s="46">
        <f t="shared" si="6"/>
        <v>20.809999999999995</v>
      </c>
      <c r="AE67" s="76">
        <f t="shared" si="16"/>
        <v>0</v>
      </c>
      <c r="AF67" s="71">
        <f t="shared" si="36"/>
        <v>1294.8</v>
      </c>
      <c r="AG67" s="71">
        <f t="shared" si="18"/>
        <v>2.13</v>
      </c>
      <c r="AH67" s="87">
        <f t="shared" si="19"/>
        <v>1296.93</v>
      </c>
      <c r="AI67" s="115">
        <f t="shared" si="37"/>
        <v>97.53125</v>
      </c>
      <c r="AJ67" s="36">
        <f t="shared" si="20"/>
        <v>1262.834625</v>
      </c>
      <c r="AK67" s="37">
        <f t="shared" si="21"/>
        <v>1264.9646250000001</v>
      </c>
      <c r="AN67" s="8">
        <v>43115</v>
      </c>
      <c r="AO67" s="4" t="b">
        <f t="shared" si="22"/>
        <v>1</v>
      </c>
    </row>
    <row r="68" spans="1:41" x14ac:dyDescent="0.3">
      <c r="A68" s="29">
        <v>3.625</v>
      </c>
      <c r="B68" s="7">
        <v>30</v>
      </c>
      <c r="C68" s="8">
        <v>46858</v>
      </c>
      <c r="D68" s="149">
        <f t="shared" si="8"/>
        <v>35900</v>
      </c>
      <c r="E68" s="150">
        <f>ROUND((VLOOKUP(YEAR(EDATE(D68,-2)),CPI!$A:$M,MONTH(EDATE(D68,-2))+1,FALSE)*(DAY(D68)-1)+VLOOKUP(YEAR(EDATE(D68,-3)),CPI!$A:$M,MONTH(EDATE(D68,-3))+1,FALSE)*(DAY(EOMONTH(D68,0))-DAY(D68)+1))/DAY(EOMONTH(D68,0)),5)</f>
        <v>161.74</v>
      </c>
      <c r="F68" s="30">
        <v>35900</v>
      </c>
      <c r="G68" s="31">
        <v>46858</v>
      </c>
      <c r="H68" s="32">
        <v>1000</v>
      </c>
      <c r="I68" s="33">
        <f t="shared" si="34"/>
        <v>0</v>
      </c>
      <c r="J68" s="33">
        <f t="shared" si="34"/>
        <v>0</v>
      </c>
      <c r="K68" s="33">
        <f t="shared" si="34"/>
        <v>18.125</v>
      </c>
      <c r="L68" s="29">
        <f t="shared" si="34"/>
        <v>0</v>
      </c>
      <c r="M68" s="33">
        <f t="shared" si="34"/>
        <v>0</v>
      </c>
      <c r="N68" s="34">
        <f t="shared" si="34"/>
        <v>18.125</v>
      </c>
      <c r="O68" s="34">
        <f t="shared" si="23"/>
        <v>36.25</v>
      </c>
      <c r="P68" s="35">
        <f t="shared" si="24"/>
        <v>0</v>
      </c>
      <c r="Q68" s="36">
        <f t="shared" si="25"/>
        <v>0</v>
      </c>
      <c r="R68" s="37">
        <f t="shared" si="26"/>
        <v>35.67</v>
      </c>
      <c r="S68" s="35">
        <f t="shared" si="27"/>
        <v>0</v>
      </c>
      <c r="T68" s="36">
        <f t="shared" si="28"/>
        <v>0</v>
      </c>
      <c r="U68" s="37">
        <f t="shared" si="29"/>
        <v>0</v>
      </c>
      <c r="V68" s="36">
        <f t="shared" si="30"/>
        <v>35.67</v>
      </c>
      <c r="W68" s="42">
        <f t="shared" si="31"/>
        <v>45658</v>
      </c>
      <c r="X68" s="43">
        <f t="shared" si="32"/>
        <v>45839</v>
      </c>
      <c r="Y68" s="44">
        <f>IF(W68=0,0,ROUND((VLOOKUP(YEAR(EDATE(W68,-2)),CPI!$A:$M,MONTH(EDATE(W68,-2))+1,FALSE)*(DAY(W68)-1)+VLOOKUP(YEAR(EDATE(W68,-3)),CPI!$A:$M,MONTH(EDATE(W68,-3))+1,FALSE)*(DAY(EOMONTH(W68,0))-DAY(W68)+1))/DAY(EOMONTH(W68,0)),5))</f>
        <v>315.66399999999999</v>
      </c>
      <c r="Z68" s="44">
        <f>IF(X68=0,0,ROUND((VLOOKUP(YEAR(EDATE(X68,-2)),CPI!$A:$M,MONTH(EDATE(X68,-2))+1,FALSE)*(DAY(X68)-1)+VLOOKUP(YEAR(EDATE(X68,-3)),CPI!$A:$M,MONTH(EDATE(X68,-3))+1,FALSE)*(DAY(EOMONTH(X68,0))-DAY(X68)+1))/DAY(EOMONTH(X68,0)),5))</f>
        <v>320.79500000000002</v>
      </c>
      <c r="AA68" s="44">
        <f>ROUND((VLOOKUP(YEAR(EDATE(F68,-2)),CPI!$A:$M,MONTH(EDATE(F68,-2))+1,FALSE)*(DAY(F68)-1)+VLOOKUP(YEAR(EDATE(F68,-3)),CPI!$A:$M,MONTH(EDATE(F68,-3))+1,FALSE)*(DAY(EOMONTH(F68,0))-DAY(F68)+1))/DAY(EOMONTH(F68,0)),5)</f>
        <v>161.74</v>
      </c>
      <c r="AB68" s="45">
        <f>IF(G68&lt;D$1,E$1,IF(G68&gt;D$2,E$2,ROUND((VLOOKUP(YEAR(EDATE(G68,-2)),CPI!$A:$M,MONTH(EDATE(G68,-2))+1,FALSE)*(DAY(G68)-1)+VLOOKUP(YEAR(EDATE(G68,-3)),CPI!$A:$M,MONTH(EDATE(G68,-3))+1,FALSE)*(DAY(EOMONTH(G68,0))-DAY(G68)+1))/DAY(EOMONTH(G68,0)),5)))</f>
        <v>0</v>
      </c>
      <c r="AC68" s="60" t="str">
        <f t="shared" si="15"/>
        <v/>
      </c>
      <c r="AD68" s="46">
        <f t="shared" si="6"/>
        <v>31.71999999999997</v>
      </c>
      <c r="AE68" s="76">
        <f t="shared" si="16"/>
        <v>0</v>
      </c>
      <c r="AF68" s="71">
        <f t="shared" si="36"/>
        <v>1974.67</v>
      </c>
      <c r="AG68" s="71">
        <f t="shared" si="18"/>
        <v>5.67</v>
      </c>
      <c r="AH68" s="87">
        <f t="shared" si="19"/>
        <v>1980.3400000000001</v>
      </c>
      <c r="AI68" s="115">
        <f t="shared" ref="AI68:AI106" si="99">IF(AND(F68&lt;=AH$2,AH$2&lt;=G68),VLOOKUP(TEXT(C68,"yyyy-mmdd")&amp;"-"&amp;TEXT(A68,"0.000"),wsj_quotes,10,FALSE),0)</f>
        <v>105.96875</v>
      </c>
      <c r="AJ68" s="36">
        <f t="shared" si="20"/>
        <v>2092.5331156249999</v>
      </c>
      <c r="AK68" s="37">
        <f t="shared" si="21"/>
        <v>2098.203115625</v>
      </c>
      <c r="AN68" s="8">
        <v>35900</v>
      </c>
      <c r="AO68" s="4" t="b">
        <f t="shared" si="22"/>
        <v>1</v>
      </c>
    </row>
    <row r="69" spans="1:41" x14ac:dyDescent="0.3">
      <c r="A69" s="29">
        <v>1.25</v>
      </c>
      <c r="B69" s="7">
        <v>5</v>
      </c>
      <c r="C69" s="8">
        <v>46858</v>
      </c>
      <c r="D69" s="149">
        <f t="shared" ref="D69:D106" si="100">EDATE(C69,-12*B69)</f>
        <v>45031</v>
      </c>
      <c r="E69" s="150">
        <f>ROUND((VLOOKUP(YEAR(EDATE(D69,-2)),CPI!$A:$M,MONTH(EDATE(D69,-2))+1,FALSE)*(DAY(D69)-1)+VLOOKUP(YEAR(EDATE(D69,-3)),CPI!$A:$M,MONTH(EDATE(D69,-3))+1,FALSE)*(DAY(EOMONTH(D69,0))-DAY(D69)+1))/DAY(EOMONTH(D69,0)),5)</f>
        <v>299.94932999999997</v>
      </c>
      <c r="F69" s="30">
        <v>45044</v>
      </c>
      <c r="G69" s="31">
        <v>46858</v>
      </c>
      <c r="H69" s="32">
        <v>1000</v>
      </c>
      <c r="I69" s="33">
        <f t="shared" ref="I69:N69" si="101">IF(AND($F69&lt;I$3,I$3&lt;=$G69,MOD(MONTH($C69),6)=MOD(MONTH(I$3),6)),$H69*($A69/200),0)</f>
        <v>0</v>
      </c>
      <c r="J69" s="33">
        <f t="shared" si="101"/>
        <v>0</v>
      </c>
      <c r="K69" s="33">
        <f t="shared" si="101"/>
        <v>6.25</v>
      </c>
      <c r="L69" s="29">
        <f t="shared" si="101"/>
        <v>0</v>
      </c>
      <c r="M69" s="33">
        <f t="shared" si="101"/>
        <v>0</v>
      </c>
      <c r="N69" s="34">
        <f t="shared" si="101"/>
        <v>6.25</v>
      </c>
      <c r="O69" s="34">
        <f>SUM(I69:N69)</f>
        <v>12.5</v>
      </c>
      <c r="P69" s="35">
        <f t="shared" si="24"/>
        <v>0</v>
      </c>
      <c r="Q69" s="36">
        <f t="shared" si="25"/>
        <v>0</v>
      </c>
      <c r="R69" s="37">
        <f t="shared" si="26"/>
        <v>6.63</v>
      </c>
      <c r="S69" s="35">
        <f t="shared" si="27"/>
        <v>0</v>
      </c>
      <c r="T69" s="36">
        <f t="shared" si="28"/>
        <v>0</v>
      </c>
      <c r="U69" s="37">
        <f t="shared" si="29"/>
        <v>0</v>
      </c>
      <c r="V69" s="36">
        <f>SUM(P69:U69)</f>
        <v>6.63</v>
      </c>
      <c r="W69" s="42">
        <f>IF(F69&lt;$X$1,MAX(F69,$W$1),0)</f>
        <v>45658</v>
      </c>
      <c r="X69" s="43">
        <f>IF(G69&gt;$W$1,MIN(G69,$X$1),0)</f>
        <v>45839</v>
      </c>
      <c r="Y69" s="44">
        <f>IF(W69=0,0,ROUND((VLOOKUP(YEAR(EDATE(W69,-2)),CPI!$A:$M,MONTH(EDATE(W69,-2))+1,FALSE)*(DAY(W69)-1)+VLOOKUP(YEAR(EDATE(W69,-3)),CPI!$A:$M,MONTH(EDATE(W69,-3))+1,FALSE)*(DAY(EOMONTH(W69,0))-DAY(W69)+1))/DAY(EOMONTH(W69,0)),5))</f>
        <v>315.66399999999999</v>
      </c>
      <c r="Z69" s="44">
        <f>IF(X69=0,0,ROUND((VLOOKUP(YEAR(EDATE(X69,-2)),CPI!$A:$M,MONTH(EDATE(X69,-2))+1,FALSE)*(DAY(X69)-1)+VLOOKUP(YEAR(EDATE(X69,-3)),CPI!$A:$M,MONTH(EDATE(X69,-3))+1,FALSE)*(DAY(EOMONTH(X69,0))-DAY(X69)+1))/DAY(EOMONTH(X69,0)),5))</f>
        <v>320.79500000000002</v>
      </c>
      <c r="AA69" s="44">
        <f>ROUND((VLOOKUP(YEAR(EDATE(F69,-2)),CPI!$A:$M,MONTH(EDATE(F69,-2))+1,FALSE)*(DAY(F69)-1)+VLOOKUP(YEAR(EDATE(F69,-3)),CPI!$A:$M,MONTH(EDATE(F69,-3))+1,FALSE)*(DAY(EOMONTH(F69,0))-DAY(F69)+1))/DAY(EOMONTH(F69,0)),5)</f>
        <v>300.673</v>
      </c>
      <c r="AB69" s="45">
        <f>IF(G69&lt;D$1,E$1,IF(G69&gt;D$2,E$2,ROUND((VLOOKUP(YEAR(EDATE(G69,-2)),CPI!$A:$M,MONTH(EDATE(G69,-2))+1,FALSE)*(DAY(G69)-1)+VLOOKUP(YEAR(EDATE(G69,-3)),CPI!$A:$M,MONTH(EDATE(G69,-3))+1,FALSE)*(DAY(EOMONTH(G69,0))-DAY(G69)+1))/DAY(EOMONTH(G69,0)),5)))</f>
        <v>0</v>
      </c>
      <c r="AC69" s="60" t="str">
        <f t="shared" si="15"/>
        <v/>
      </c>
      <c r="AD69" s="46">
        <f t="shared" si="6"/>
        <v>17.109999999999957</v>
      </c>
      <c r="AE69" s="76">
        <f t="shared" ref="AE69:AE106" si="102">IF(ISERROR(AB69),0,IF(AB69=0,0,H69*(ROUND(AB69/E69,5)-ROUND(AA69/E69,5))))</f>
        <v>0</v>
      </c>
      <c r="AF69" s="71">
        <f t="shared" si="36"/>
        <v>1064.79</v>
      </c>
      <c r="AG69" s="71">
        <f t="shared" ref="AG69" si="103">IF(AND(F69&lt;=AH$2,AH$2&lt;C69),ROUND(AF69*(A69/200)*COUPDAYBS(AH$2,C69,2,1)/COUPDAYS(AH$2,C69,2,1),2),0)</f>
        <v>1.05</v>
      </c>
      <c r="AH69" s="87">
        <f t="shared" si="19"/>
        <v>1065.8399999999999</v>
      </c>
      <c r="AI69" s="115">
        <f t="shared" si="99"/>
        <v>99.1875</v>
      </c>
      <c r="AJ69" s="36">
        <f t="shared" ref="AJ69:AJ106" si="104">AF69*(AI69/100)</f>
        <v>1056.13858125</v>
      </c>
      <c r="AK69" s="37">
        <f t="shared" ref="AK69:AK106" si="105">AJ69+AG69</f>
        <v>1057.18858125</v>
      </c>
      <c r="AN69" s="8">
        <v>45031</v>
      </c>
      <c r="AO69" s="4" t="b">
        <f t="shared" ref="AO69:AO106" si="106">AN69=D69</f>
        <v>1</v>
      </c>
    </row>
    <row r="70" spans="1:41" x14ac:dyDescent="0.3">
      <c r="A70" s="29">
        <v>0.75</v>
      </c>
      <c r="B70" s="7">
        <v>10</v>
      </c>
      <c r="C70" s="8">
        <v>46949</v>
      </c>
      <c r="D70" s="149">
        <f t="shared" si="100"/>
        <v>43296</v>
      </c>
      <c r="E70" s="150">
        <f>ROUND((VLOOKUP(YEAR(EDATE(D70,-2)),CPI!$A:$M,MONTH(EDATE(D70,-2))+1,FALSE)*(DAY(D70)-1)+VLOOKUP(YEAR(EDATE(D70,-3)),CPI!$A:$M,MONTH(EDATE(D70,-3))+1,FALSE)*(DAY(EOMONTH(D70,0))-DAY(D70)+1))/DAY(EOMONTH(D70,0)),5)</f>
        <v>251.01658</v>
      </c>
      <c r="F70" s="30">
        <v>43312</v>
      </c>
      <c r="G70" s="31">
        <v>46949</v>
      </c>
      <c r="H70" s="32">
        <v>1000</v>
      </c>
      <c r="I70" s="33">
        <f t="shared" si="34"/>
        <v>3.75</v>
      </c>
      <c r="J70" s="33">
        <f t="shared" si="34"/>
        <v>0</v>
      </c>
      <c r="K70" s="33">
        <f t="shared" si="34"/>
        <v>0</v>
      </c>
      <c r="L70" s="29">
        <f t="shared" si="34"/>
        <v>3.75</v>
      </c>
      <c r="M70" s="33">
        <f t="shared" si="34"/>
        <v>0</v>
      </c>
      <c r="N70" s="34">
        <f t="shared" si="34"/>
        <v>0</v>
      </c>
      <c r="O70" s="34">
        <f>SUM(I70:N70)</f>
        <v>7.5</v>
      </c>
      <c r="P70" s="35">
        <f t="shared" ref="P70:P71" si="107">ROUND(ROUND(P$1/$E70,5)*I70,2)</f>
        <v>4.71</v>
      </c>
      <c r="Q70" s="36">
        <f t="shared" ref="Q70:Q71" si="108">ROUND(ROUND(Q$1/$E70,5)*J70,2)</f>
        <v>0</v>
      </c>
      <c r="R70" s="37">
        <f t="shared" ref="R70:R71" si="109">ROUND(ROUND(R$1/$E70,5)*K70,2)</f>
        <v>0</v>
      </c>
      <c r="S70" s="35">
        <f t="shared" ref="S70:S71" si="110">ROUND(ROUND(S$1/$E70,5)*L70,2)</f>
        <v>0</v>
      </c>
      <c r="T70" s="36">
        <f t="shared" ref="T70:T71" si="111">ROUND(ROUND(T$1/$E70,5)*M70,2)</f>
        <v>0</v>
      </c>
      <c r="U70" s="37">
        <f t="shared" ref="U70:U71" si="112">ROUND(ROUND(U$1/$E70,5)*N70,2)</f>
        <v>0</v>
      </c>
      <c r="V70" s="36">
        <f>SUM(P70:U70)</f>
        <v>4.71</v>
      </c>
      <c r="W70" s="42">
        <f>IF(F70&lt;$X$1,MAX(F70,$W$1),0)</f>
        <v>45658</v>
      </c>
      <c r="X70" s="43">
        <f>IF(G70&gt;$W$1,MIN(G70,$X$1),0)</f>
        <v>45839</v>
      </c>
      <c r="Y70" s="44">
        <f>IF(W70=0,0,ROUND((VLOOKUP(YEAR(EDATE(W70,-2)),CPI!$A:$M,MONTH(EDATE(W70,-2))+1,FALSE)*(DAY(W70)-1)+VLOOKUP(YEAR(EDATE(W70,-3)),CPI!$A:$M,MONTH(EDATE(W70,-3))+1,FALSE)*(DAY(EOMONTH(W70,0))-DAY(W70)+1))/DAY(EOMONTH(W70,0)),5))</f>
        <v>315.66399999999999</v>
      </c>
      <c r="Z70" s="44">
        <f>IF(X70=0,0,ROUND((VLOOKUP(YEAR(EDATE(X70,-2)),CPI!$A:$M,MONTH(EDATE(X70,-2))+1,FALSE)*(DAY(X70)-1)+VLOOKUP(YEAR(EDATE(X70,-3)),CPI!$A:$M,MONTH(EDATE(X70,-3))+1,FALSE)*(DAY(EOMONTH(X70,0))-DAY(X70)+1))/DAY(EOMONTH(X70,0)),5))</f>
        <v>320.79500000000002</v>
      </c>
      <c r="AA70" s="44">
        <f>ROUND((VLOOKUP(YEAR(EDATE(F70,-2)),CPI!$A:$M,MONTH(EDATE(F70,-2))+1,FALSE)*(DAY(F70)-1)+VLOOKUP(YEAR(EDATE(F70,-3)),CPI!$A:$M,MONTH(EDATE(F70,-3))+1,FALSE)*(DAY(EOMONTH(F70,0))-DAY(F70)+1))/DAY(EOMONTH(F70,0)),5)</f>
        <v>251.55439000000001</v>
      </c>
      <c r="AB70" s="45">
        <f>IF(G70&lt;D$1,E$1,IF(G70&gt;D$2,E$2,ROUND((VLOOKUP(YEAR(EDATE(G70,-2)),CPI!$A:$M,MONTH(EDATE(G70,-2))+1,FALSE)*(DAY(G70)-1)+VLOOKUP(YEAR(EDATE(G70,-3)),CPI!$A:$M,MONTH(EDATE(G70,-3))+1,FALSE)*(DAY(EOMONTH(G70,0))-DAY(G70)+1))/DAY(EOMONTH(G70,0)),5)))</f>
        <v>0</v>
      </c>
      <c r="AC70" s="60" t="str">
        <f t="shared" si="15"/>
        <v/>
      </c>
      <c r="AD70" s="46">
        <f t="shared" si="6"/>
        <v>20.439999999999792</v>
      </c>
      <c r="AE70" s="76">
        <f t="shared" si="102"/>
        <v>0</v>
      </c>
      <c r="AF70" s="71">
        <f t="shared" si="36"/>
        <v>1272.3599999999999</v>
      </c>
      <c r="AG70" s="71">
        <f t="shared" ref="AG70:AG102" si="113">IF(AND(F70&lt;=AH$2,AH$2&lt;C70),ROUND(AF70*(A70/200)*COUPDAYBS(AH$2,C70,2,1)/COUPDAYS(AH$2,C70,2,1),2),0)</f>
        <v>3.14</v>
      </c>
      <c r="AH70" s="87">
        <f t="shared" si="19"/>
        <v>1275.5</v>
      </c>
      <c r="AI70" s="115">
        <f t="shared" si="99"/>
        <v>98</v>
      </c>
      <c r="AJ70" s="36">
        <f t="shared" si="104"/>
        <v>1246.9127999999998</v>
      </c>
      <c r="AK70" s="37">
        <f t="shared" si="105"/>
        <v>1250.0527999999999</v>
      </c>
      <c r="AN70" s="8">
        <v>43296</v>
      </c>
      <c r="AO70" s="4" t="b">
        <f t="shared" si="106"/>
        <v>1</v>
      </c>
    </row>
    <row r="71" spans="1:41" x14ac:dyDescent="0.3">
      <c r="A71" s="29">
        <v>2.375</v>
      </c>
      <c r="B71" s="7">
        <v>5</v>
      </c>
      <c r="C71" s="8">
        <v>47041</v>
      </c>
      <c r="D71" s="149">
        <f t="shared" si="100"/>
        <v>45214</v>
      </c>
      <c r="E71" s="150">
        <f>ROUND((VLOOKUP(YEAR(EDATE(D71,-2)),CPI!$A:$M,MONTH(EDATE(D71,-2))+1,FALSE)*(DAY(D71)-1)+VLOOKUP(YEAR(EDATE(D71,-3)),CPI!$A:$M,MONTH(EDATE(D71,-3))+1,FALSE)*(DAY(EOMONTH(D71,0))-DAY(D71)+1))/DAY(EOMONTH(D71,0)),5)</f>
        <v>306.29390000000001</v>
      </c>
      <c r="F71" s="30">
        <v>45230</v>
      </c>
      <c r="G71" s="31">
        <v>47041</v>
      </c>
      <c r="H71" s="32">
        <v>1000</v>
      </c>
      <c r="I71" s="33">
        <f t="shared" ref="I71:N71" si="114">IF(AND($F71&lt;I$3,I$3&lt;=$G71,MOD(MONTH($C71),6)=MOD(MONTH(I$3),6)),$H71*($A71/200),0)</f>
        <v>0</v>
      </c>
      <c r="J71" s="33">
        <f t="shared" si="114"/>
        <v>0</v>
      </c>
      <c r="K71" s="33">
        <f t="shared" si="114"/>
        <v>11.875</v>
      </c>
      <c r="L71" s="29">
        <f t="shared" si="114"/>
        <v>0</v>
      </c>
      <c r="M71" s="33">
        <f t="shared" si="114"/>
        <v>0</v>
      </c>
      <c r="N71" s="34">
        <f t="shared" si="114"/>
        <v>11.875</v>
      </c>
      <c r="O71" s="34">
        <f t="shared" ref="O71" si="115">SUM(I71:N71)</f>
        <v>23.75</v>
      </c>
      <c r="P71" s="35">
        <f t="shared" si="107"/>
        <v>0</v>
      </c>
      <c r="Q71" s="36">
        <f t="shared" si="108"/>
        <v>0</v>
      </c>
      <c r="R71" s="37">
        <f t="shared" si="109"/>
        <v>12.34</v>
      </c>
      <c r="S71" s="35">
        <f t="shared" si="110"/>
        <v>0</v>
      </c>
      <c r="T71" s="36">
        <f t="shared" si="111"/>
        <v>0</v>
      </c>
      <c r="U71" s="37">
        <f t="shared" si="112"/>
        <v>0</v>
      </c>
      <c r="V71" s="36">
        <f t="shared" ref="V71" si="116">SUM(P71:U71)</f>
        <v>12.34</v>
      </c>
      <c r="W71" s="42">
        <f t="shared" ref="W71" si="117">IF(F71&lt;$X$1,MAX(F71,$W$1),0)</f>
        <v>45658</v>
      </c>
      <c r="X71" s="43">
        <f t="shared" ref="X71" si="118">IF(G71&gt;$W$1,MIN(G71,$X$1),0)</f>
        <v>45839</v>
      </c>
      <c r="Y71" s="44">
        <f>IF(W71=0,0,ROUND((VLOOKUP(YEAR(EDATE(W71,-2)),CPI!$A:$M,MONTH(EDATE(W71,-2))+1,FALSE)*(DAY(W71)-1)+VLOOKUP(YEAR(EDATE(W71,-3)),CPI!$A:$M,MONTH(EDATE(W71,-3))+1,FALSE)*(DAY(EOMONTH(W71,0))-DAY(W71)+1))/DAY(EOMONTH(W71,0)),5))</f>
        <v>315.66399999999999</v>
      </c>
      <c r="Z71" s="44">
        <f>IF(X71=0,0,ROUND((VLOOKUP(YEAR(EDATE(X71,-2)),CPI!$A:$M,MONTH(EDATE(X71,-2))+1,FALSE)*(DAY(X71)-1)+VLOOKUP(YEAR(EDATE(X71,-3)),CPI!$A:$M,MONTH(EDATE(X71,-3))+1,FALSE)*(DAY(EOMONTH(X71,0))-DAY(X71)+1))/DAY(EOMONTH(X71,0)),5))</f>
        <v>320.79500000000002</v>
      </c>
      <c r="AA71" s="44">
        <f>ROUND((VLOOKUP(YEAR(EDATE(F71,-2)),CPI!$A:$M,MONTH(EDATE(F71,-2))+1,FALSE)*(DAY(F71)-1)+VLOOKUP(YEAR(EDATE(F71,-3)),CPI!$A:$M,MONTH(EDATE(F71,-3))+1,FALSE)*(DAY(EOMONTH(F71,0))-DAY(F71)+1))/DAY(EOMONTH(F71,0)),5)</f>
        <v>306.98293999999999</v>
      </c>
      <c r="AB71" s="45">
        <f>IF(G71&lt;D$1,E$1,IF(G71&gt;D$2,E$2,ROUND((VLOOKUP(YEAR(EDATE(G71,-2)),CPI!$A:$M,MONTH(EDATE(G71,-2))+1,FALSE)*(DAY(G71)-1)+VLOOKUP(YEAR(EDATE(G71,-3)),CPI!$A:$M,MONTH(EDATE(G71,-3))+1,FALSE)*(DAY(EOMONTH(G71,0))-DAY(G71)+1))/DAY(EOMONTH(G71,0)),5)))</f>
        <v>0</v>
      </c>
      <c r="AC71" s="60" t="str">
        <f t="shared" si="15"/>
        <v/>
      </c>
      <c r="AD71" s="46">
        <f t="shared" si="6"/>
        <v>16.750000000000043</v>
      </c>
      <c r="AE71" s="76">
        <f t="shared" si="102"/>
        <v>0</v>
      </c>
      <c r="AF71" s="71">
        <f>IF(AND(F71&lt;=AH$2,AH$2&lt;=G71),ROUND(ROUND(AH$1/E71,5)*H71,2),0)</f>
        <v>1042.73</v>
      </c>
      <c r="AG71" s="71">
        <f t="shared" si="113"/>
        <v>1.96</v>
      </c>
      <c r="AH71" s="87">
        <f t="shared" si="19"/>
        <v>1044.69</v>
      </c>
      <c r="AI71" s="115">
        <f t="shared" si="99"/>
        <v>103.09375</v>
      </c>
      <c r="AJ71" s="36">
        <f t="shared" si="104"/>
        <v>1074.989459375</v>
      </c>
      <c r="AK71" s="37">
        <f t="shared" si="105"/>
        <v>1076.9494593750001</v>
      </c>
      <c r="AN71" s="8">
        <v>45214</v>
      </c>
      <c r="AO71" s="4" t="b">
        <f t="shared" si="106"/>
        <v>1</v>
      </c>
    </row>
    <row r="72" spans="1:41" x14ac:dyDescent="0.3">
      <c r="A72" s="29">
        <v>2.5</v>
      </c>
      <c r="B72" s="7">
        <v>20</v>
      </c>
      <c r="C72" s="8">
        <v>47133</v>
      </c>
      <c r="D72" s="149">
        <f t="shared" si="100"/>
        <v>39828</v>
      </c>
      <c r="E72" s="150">
        <f>ROUND((VLOOKUP(YEAR(EDATE(D72,-2)),CPI!$A:$M,MONTH(EDATE(D72,-2))+1,FALSE)*(DAY(D72)-1)+VLOOKUP(YEAR(EDATE(D72,-3)),CPI!$A:$M,MONTH(EDATE(D72,-3))+1,FALSE)*(DAY(EOMONTH(D72,0))-DAY(D72)+1))/DAY(EOMONTH(D72,0)),5)</f>
        <v>214.69971000000001</v>
      </c>
      <c r="F72" s="30">
        <v>39843</v>
      </c>
      <c r="G72" s="31">
        <v>47133</v>
      </c>
      <c r="H72" s="32">
        <v>1000</v>
      </c>
      <c r="I72" s="33">
        <f t="shared" si="34"/>
        <v>12.5</v>
      </c>
      <c r="J72" s="33">
        <f t="shared" si="34"/>
        <v>0</v>
      </c>
      <c r="K72" s="33">
        <f t="shared" si="34"/>
        <v>0</v>
      </c>
      <c r="L72" s="29">
        <f t="shared" si="34"/>
        <v>12.5</v>
      </c>
      <c r="M72" s="33">
        <f t="shared" si="34"/>
        <v>0</v>
      </c>
      <c r="N72" s="34">
        <f t="shared" si="34"/>
        <v>0</v>
      </c>
      <c r="O72" s="34">
        <f t="shared" si="23"/>
        <v>25</v>
      </c>
      <c r="P72" s="35">
        <f t="shared" si="24"/>
        <v>18.37</v>
      </c>
      <c r="Q72" s="36">
        <f t="shared" si="25"/>
        <v>0</v>
      </c>
      <c r="R72" s="37">
        <f t="shared" si="26"/>
        <v>0</v>
      </c>
      <c r="S72" s="35">
        <f t="shared" si="27"/>
        <v>0</v>
      </c>
      <c r="T72" s="36">
        <f t="shared" si="28"/>
        <v>0</v>
      </c>
      <c r="U72" s="37">
        <f t="shared" si="29"/>
        <v>0</v>
      </c>
      <c r="V72" s="36">
        <f t="shared" si="30"/>
        <v>18.37</v>
      </c>
      <c r="W72" s="42">
        <f t="shared" si="31"/>
        <v>45658</v>
      </c>
      <c r="X72" s="43">
        <f t="shared" si="32"/>
        <v>45839</v>
      </c>
      <c r="Y72" s="44">
        <f>IF(W72=0,0,ROUND((VLOOKUP(YEAR(EDATE(W72,-2)),CPI!$A:$M,MONTH(EDATE(W72,-2))+1,FALSE)*(DAY(W72)-1)+VLOOKUP(YEAR(EDATE(W72,-3)),CPI!$A:$M,MONTH(EDATE(W72,-3))+1,FALSE)*(DAY(EOMONTH(W72,0))-DAY(W72)+1))/DAY(EOMONTH(W72,0)),5))</f>
        <v>315.66399999999999</v>
      </c>
      <c r="Z72" s="44">
        <f>IF(X72=0,0,ROUND((VLOOKUP(YEAR(EDATE(X72,-2)),CPI!$A:$M,MONTH(EDATE(X72,-2))+1,FALSE)*(DAY(X72)-1)+VLOOKUP(YEAR(EDATE(X72,-3)),CPI!$A:$M,MONTH(EDATE(X72,-3))+1,FALSE)*(DAY(EOMONTH(X72,0))-DAY(X72)+1))/DAY(EOMONTH(X72,0)),5))</f>
        <v>320.79500000000002</v>
      </c>
      <c r="AA72" s="44">
        <f>ROUND((VLOOKUP(YEAR(EDATE(F72,-2)),CPI!$A:$M,MONTH(EDATE(F72,-2))+1,FALSE)*(DAY(F72)-1)+VLOOKUP(YEAR(EDATE(F72,-3)),CPI!$A:$M,MONTH(EDATE(F72,-3))+1,FALSE)*(DAY(EOMONTH(F72,0))-DAY(F72)+1))/DAY(EOMONTH(F72,0)),5)</f>
        <v>212.69261</v>
      </c>
      <c r="AB72" s="45">
        <f>IF(G72&lt;D$1,E$1,IF(G72&gt;D$2,E$2,ROUND((VLOOKUP(YEAR(EDATE(G72,-2)),CPI!$A:$M,MONTH(EDATE(G72,-2))+1,FALSE)*(DAY(G72)-1)+VLOOKUP(YEAR(EDATE(G72,-3)),CPI!$A:$M,MONTH(EDATE(G72,-3))+1,FALSE)*(DAY(EOMONTH(G72,0))-DAY(G72)+1))/DAY(EOMONTH(G72,0)),5)))</f>
        <v>0</v>
      </c>
      <c r="AC72" s="60" t="str">
        <f t="shared" si="15"/>
        <v/>
      </c>
      <c r="AD72" s="46">
        <f t="shared" si="6"/>
        <v>23.900000000000034</v>
      </c>
      <c r="AE72" s="76">
        <f t="shared" si="102"/>
        <v>0</v>
      </c>
      <c r="AF72" s="71">
        <f t="shared" si="36"/>
        <v>1487.58</v>
      </c>
      <c r="AG72" s="71">
        <f t="shared" si="113"/>
        <v>12.23</v>
      </c>
      <c r="AH72" s="87">
        <f t="shared" si="19"/>
        <v>1499.81</v>
      </c>
      <c r="AI72" s="115">
        <f t="shared" si="99"/>
        <v>103.31249999999999</v>
      </c>
      <c r="AJ72" s="36">
        <f t="shared" si="104"/>
        <v>1536.8560874999996</v>
      </c>
      <c r="AK72" s="37">
        <f t="shared" si="105"/>
        <v>1549.0860874999996</v>
      </c>
      <c r="AN72" s="8">
        <v>39828</v>
      </c>
      <c r="AO72" s="4" t="b">
        <f t="shared" si="106"/>
        <v>1</v>
      </c>
    </row>
    <row r="73" spans="1:41" x14ac:dyDescent="0.3">
      <c r="A73" s="29">
        <v>0.875</v>
      </c>
      <c r="B73" s="7">
        <v>10</v>
      </c>
      <c r="C73" s="8">
        <v>47133</v>
      </c>
      <c r="D73" s="149">
        <f t="shared" si="100"/>
        <v>43480</v>
      </c>
      <c r="E73" s="150">
        <f>ROUND((VLOOKUP(YEAR(EDATE(D73,-2)),CPI!$A:$M,MONTH(EDATE(D73,-2))+1,FALSE)*(DAY(D73)-1)+VLOOKUP(YEAR(EDATE(D73,-3)),CPI!$A:$M,MONTH(EDATE(D73,-3))+1,FALSE)*(DAY(EOMONTH(D73,0))-DAY(D73)+1))/DAY(EOMONTH(D73,0)),5)</f>
        <v>252.50247999999999</v>
      </c>
      <c r="F73" s="30">
        <v>43496</v>
      </c>
      <c r="G73" s="31">
        <v>47133</v>
      </c>
      <c r="H73" s="32">
        <v>1000</v>
      </c>
      <c r="I73" s="33">
        <f t="shared" si="34"/>
        <v>4.375</v>
      </c>
      <c r="J73" s="33">
        <f t="shared" si="34"/>
        <v>0</v>
      </c>
      <c r="K73" s="33">
        <f t="shared" si="34"/>
        <v>0</v>
      </c>
      <c r="L73" s="29">
        <f t="shared" si="34"/>
        <v>4.375</v>
      </c>
      <c r="M73" s="33">
        <f t="shared" si="34"/>
        <v>0</v>
      </c>
      <c r="N73" s="34">
        <f t="shared" si="34"/>
        <v>0</v>
      </c>
      <c r="O73" s="34">
        <f t="shared" ref="O73" si="119">SUM(I73:N73)</f>
        <v>8.75</v>
      </c>
      <c r="P73" s="35">
        <f t="shared" si="24"/>
        <v>5.47</v>
      </c>
      <c r="Q73" s="36">
        <f t="shared" si="25"/>
        <v>0</v>
      </c>
      <c r="R73" s="37">
        <f t="shared" si="26"/>
        <v>0</v>
      </c>
      <c r="S73" s="35">
        <f t="shared" si="27"/>
        <v>0</v>
      </c>
      <c r="T73" s="36">
        <f t="shared" si="28"/>
        <v>0</v>
      </c>
      <c r="U73" s="37">
        <f t="shared" si="29"/>
        <v>0</v>
      </c>
      <c r="V73" s="36">
        <f t="shared" si="30"/>
        <v>5.47</v>
      </c>
      <c r="W73" s="42">
        <f t="shared" si="31"/>
        <v>45658</v>
      </c>
      <c r="X73" s="43">
        <f t="shared" si="32"/>
        <v>45839</v>
      </c>
      <c r="Y73" s="44">
        <f>IF(W73=0,0,ROUND((VLOOKUP(YEAR(EDATE(W73,-2)),CPI!$A:$M,MONTH(EDATE(W73,-2))+1,FALSE)*(DAY(W73)-1)+VLOOKUP(YEAR(EDATE(W73,-3)),CPI!$A:$M,MONTH(EDATE(W73,-3))+1,FALSE)*(DAY(EOMONTH(W73,0))-DAY(W73)+1))/DAY(EOMONTH(W73,0)),5))</f>
        <v>315.66399999999999</v>
      </c>
      <c r="Z73" s="44">
        <f>IF(X73=0,0,ROUND((VLOOKUP(YEAR(EDATE(X73,-2)),CPI!$A:$M,MONTH(EDATE(X73,-2))+1,FALSE)*(DAY(X73)-1)+VLOOKUP(YEAR(EDATE(X73,-3)),CPI!$A:$M,MONTH(EDATE(X73,-3))+1,FALSE)*(DAY(EOMONTH(X73,0))-DAY(X73)+1))/DAY(EOMONTH(X73,0)),5))</f>
        <v>320.79500000000002</v>
      </c>
      <c r="AA73" s="44">
        <f>ROUND((VLOOKUP(YEAR(EDATE(F73,-2)),CPI!$A:$M,MONTH(EDATE(F73,-2))+1,FALSE)*(DAY(F73)-1)+VLOOKUP(YEAR(EDATE(F73,-3)),CPI!$A:$M,MONTH(EDATE(F73,-3))+1,FALSE)*(DAY(EOMONTH(F73,0))-DAY(F73)+1))/DAY(EOMONTH(F73,0)),5)</f>
        <v>252.06532000000001</v>
      </c>
      <c r="AB73" s="45">
        <f>IF(G73&lt;D$1,E$1,IF(G73&gt;D$2,E$2,ROUND((VLOOKUP(YEAR(EDATE(G73,-2)),CPI!$A:$M,MONTH(EDATE(G73,-2))+1,FALSE)*(DAY(G73)-1)+VLOOKUP(YEAR(EDATE(G73,-3)),CPI!$A:$M,MONTH(EDATE(G73,-3))+1,FALSE)*(DAY(EOMONTH(G73,0))-DAY(G73)+1))/DAY(EOMONTH(G73,0)),5)))</f>
        <v>0</v>
      </c>
      <c r="AC73" s="60" t="str">
        <f t="shared" si="15"/>
        <v/>
      </c>
      <c r="AD73" s="46">
        <f t="shared" si="6"/>
        <v>20.319999999999894</v>
      </c>
      <c r="AE73" s="76">
        <f t="shared" si="102"/>
        <v>0</v>
      </c>
      <c r="AF73" s="71">
        <f t="shared" si="36"/>
        <v>1264.8699999999999</v>
      </c>
      <c r="AG73" s="71">
        <f t="shared" si="113"/>
        <v>3.64</v>
      </c>
      <c r="AH73" s="87">
        <f t="shared" ref="AH73" si="120">AF73+AG73</f>
        <v>1268.51</v>
      </c>
      <c r="AI73" s="115">
        <f t="shared" si="99"/>
        <v>97.53125</v>
      </c>
      <c r="AJ73" s="36">
        <f t="shared" si="104"/>
        <v>1233.643521875</v>
      </c>
      <c r="AK73" s="37">
        <f t="shared" si="105"/>
        <v>1237.2835218750001</v>
      </c>
      <c r="AN73" s="8">
        <v>43480</v>
      </c>
      <c r="AO73" s="4" t="b">
        <f t="shared" si="106"/>
        <v>1</v>
      </c>
    </row>
    <row r="74" spans="1:41" x14ac:dyDescent="0.3">
      <c r="A74" s="29">
        <v>3.875</v>
      </c>
      <c r="B74" s="7">
        <v>30</v>
      </c>
      <c r="C74" s="8">
        <v>47223</v>
      </c>
      <c r="D74" s="149">
        <f t="shared" si="100"/>
        <v>36265</v>
      </c>
      <c r="E74" s="150">
        <f>ROUND((VLOOKUP(YEAR(EDATE(D74,-2)),CPI!$A:$M,MONTH(EDATE(D74,-2))+1,FALSE)*(DAY(D74)-1)+VLOOKUP(YEAR(EDATE(D74,-3)),CPI!$A:$M,MONTH(EDATE(D74,-3))+1,FALSE)*(DAY(EOMONTH(D74,0))-DAY(D74)+1))/DAY(EOMONTH(D74,0)),5)</f>
        <v>164.39332999999999</v>
      </c>
      <c r="F74" s="30">
        <v>36265</v>
      </c>
      <c r="G74" s="31">
        <v>47223</v>
      </c>
      <c r="H74" s="32">
        <v>1000</v>
      </c>
      <c r="I74" s="33">
        <f t="shared" si="34"/>
        <v>0</v>
      </c>
      <c r="J74" s="33">
        <f t="shared" si="34"/>
        <v>0</v>
      </c>
      <c r="K74" s="33">
        <f t="shared" si="34"/>
        <v>19.375</v>
      </c>
      <c r="L74" s="29">
        <f t="shared" si="34"/>
        <v>0</v>
      </c>
      <c r="M74" s="33">
        <f t="shared" si="34"/>
        <v>0</v>
      </c>
      <c r="N74" s="34">
        <f t="shared" si="34"/>
        <v>19.375</v>
      </c>
      <c r="O74" s="34">
        <f t="shared" si="23"/>
        <v>38.75</v>
      </c>
      <c r="P74" s="35">
        <f t="shared" si="24"/>
        <v>0</v>
      </c>
      <c r="Q74" s="36">
        <f t="shared" si="25"/>
        <v>0</v>
      </c>
      <c r="R74" s="37">
        <f t="shared" si="26"/>
        <v>37.520000000000003</v>
      </c>
      <c r="S74" s="35">
        <f t="shared" si="27"/>
        <v>0</v>
      </c>
      <c r="T74" s="36">
        <f t="shared" si="28"/>
        <v>0</v>
      </c>
      <c r="U74" s="37">
        <f t="shared" si="29"/>
        <v>0</v>
      </c>
      <c r="V74" s="36">
        <f t="shared" si="30"/>
        <v>37.520000000000003</v>
      </c>
      <c r="W74" s="42">
        <f t="shared" si="31"/>
        <v>45658</v>
      </c>
      <c r="X74" s="43">
        <f t="shared" si="32"/>
        <v>45839</v>
      </c>
      <c r="Y74" s="44">
        <f>IF(W74=0,0,ROUND((VLOOKUP(YEAR(EDATE(W74,-2)),CPI!$A:$M,MONTH(EDATE(W74,-2))+1,FALSE)*(DAY(W74)-1)+VLOOKUP(YEAR(EDATE(W74,-3)),CPI!$A:$M,MONTH(EDATE(W74,-3))+1,FALSE)*(DAY(EOMONTH(W74,0))-DAY(W74)+1))/DAY(EOMONTH(W74,0)),5))</f>
        <v>315.66399999999999</v>
      </c>
      <c r="Z74" s="44">
        <f>IF(X74=0,0,ROUND((VLOOKUP(YEAR(EDATE(X74,-2)),CPI!$A:$M,MONTH(EDATE(X74,-2))+1,FALSE)*(DAY(X74)-1)+VLOOKUP(YEAR(EDATE(X74,-3)),CPI!$A:$M,MONTH(EDATE(X74,-3))+1,FALSE)*(DAY(EOMONTH(X74,0))-DAY(X74)+1))/DAY(EOMONTH(X74,0)),5))</f>
        <v>320.79500000000002</v>
      </c>
      <c r="AA74" s="44">
        <f>ROUND((VLOOKUP(YEAR(EDATE(F74,-2)),CPI!$A:$M,MONTH(EDATE(F74,-2))+1,FALSE)*(DAY(F74)-1)+VLOOKUP(YEAR(EDATE(F74,-3)),CPI!$A:$M,MONTH(EDATE(F74,-3))+1,FALSE)*(DAY(EOMONTH(F74,0))-DAY(F74)+1))/DAY(EOMONTH(F74,0)),5)</f>
        <v>164.39332999999999</v>
      </c>
      <c r="AB74" s="45">
        <f>IF(G74&lt;D$1,E$1,IF(G74&gt;D$2,E$2,ROUND((VLOOKUP(YEAR(EDATE(G74,-2)),CPI!$A:$M,MONTH(EDATE(G74,-2))+1,FALSE)*(DAY(G74)-1)+VLOOKUP(YEAR(EDATE(G74,-3)),CPI!$A:$M,MONTH(EDATE(G74,-3))+1,FALSE)*(DAY(EOMONTH(G74,0))-DAY(G74)+1))/DAY(EOMONTH(G74,0)),5)))</f>
        <v>0</v>
      </c>
      <c r="AC74" s="60" t="str">
        <f t="shared" si="15"/>
        <v/>
      </c>
      <c r="AD74" s="46">
        <f t="shared" si="6"/>
        <v>31.209999999999958</v>
      </c>
      <c r="AE74" s="76">
        <f t="shared" si="102"/>
        <v>0</v>
      </c>
      <c r="AF74" s="71">
        <f t="shared" si="36"/>
        <v>1942.8</v>
      </c>
      <c r="AG74" s="71">
        <f t="shared" si="113"/>
        <v>5.97</v>
      </c>
      <c r="AH74" s="87">
        <f t="shared" si="19"/>
        <v>1948.77</v>
      </c>
      <c r="AI74" s="115">
        <f t="shared" si="99"/>
        <v>108.56250000000003</v>
      </c>
      <c r="AJ74" s="36">
        <f t="shared" si="104"/>
        <v>2109.1522500000005</v>
      </c>
      <c r="AK74" s="37">
        <f t="shared" si="105"/>
        <v>2115.1222500000003</v>
      </c>
      <c r="AN74" s="8">
        <v>36265</v>
      </c>
      <c r="AO74" s="4" t="b">
        <f t="shared" si="106"/>
        <v>1</v>
      </c>
    </row>
    <row r="75" spans="1:41" x14ac:dyDescent="0.3">
      <c r="A75" s="29">
        <v>2.125</v>
      </c>
      <c r="B75" s="7">
        <v>5</v>
      </c>
      <c r="C75" s="8">
        <v>47223</v>
      </c>
      <c r="D75" s="149">
        <f t="shared" si="100"/>
        <v>45397</v>
      </c>
      <c r="E75" s="150">
        <f>ROUND((VLOOKUP(YEAR(EDATE(D75,-2)),CPI!$A:$M,MONTH(EDATE(D75,-2))+1,FALSE)*(DAY(D75)-1)+VLOOKUP(YEAR(EDATE(D75,-3)),CPI!$A:$M,MONTH(EDATE(D75,-3))+1,FALSE)*(DAY(EOMONTH(D75,0))-DAY(D75)+1))/DAY(EOMONTH(D75,0)),5)</f>
        <v>309.30786999999998</v>
      </c>
      <c r="F75" s="30">
        <v>45412</v>
      </c>
      <c r="G75" s="31">
        <v>47223</v>
      </c>
      <c r="H75" s="32">
        <v>1000</v>
      </c>
      <c r="I75" s="33">
        <f t="shared" ref="I75:N75" si="121">IF(AND($F75&lt;I$3,I$3&lt;=$G75,MOD(MONTH($C75),6)=MOD(MONTH(I$3),6)),$H75*($A75/200),0)</f>
        <v>0</v>
      </c>
      <c r="J75" s="33">
        <f t="shared" si="121"/>
        <v>0</v>
      </c>
      <c r="K75" s="33">
        <f t="shared" si="121"/>
        <v>10.625</v>
      </c>
      <c r="L75" s="29">
        <f t="shared" si="121"/>
        <v>0</v>
      </c>
      <c r="M75" s="33">
        <f t="shared" si="121"/>
        <v>0</v>
      </c>
      <c r="N75" s="34">
        <f t="shared" si="121"/>
        <v>10.625</v>
      </c>
      <c r="O75" s="34">
        <f>SUM(I75:N75)</f>
        <v>21.25</v>
      </c>
      <c r="P75" s="35">
        <f t="shared" ref="P75" si="122">ROUND(ROUND(P$1/$E75,5)*I75,2)</f>
        <v>0</v>
      </c>
      <c r="Q75" s="36">
        <f t="shared" ref="Q75" si="123">ROUND(ROUND(Q$1/$E75,5)*J75,2)</f>
        <v>0</v>
      </c>
      <c r="R75" s="37">
        <f t="shared" ref="R75" si="124">ROUND(ROUND(R$1/$E75,5)*K75,2)</f>
        <v>10.93</v>
      </c>
      <c r="S75" s="35">
        <f t="shared" ref="S75" si="125">ROUND(ROUND(S$1/$E75,5)*L75,2)</f>
        <v>0</v>
      </c>
      <c r="T75" s="36">
        <f t="shared" ref="T75" si="126">ROUND(ROUND(T$1/$E75,5)*M75,2)</f>
        <v>0</v>
      </c>
      <c r="U75" s="37">
        <f t="shared" ref="U75" si="127">ROUND(ROUND(U$1/$E75,5)*N75,2)</f>
        <v>0</v>
      </c>
      <c r="V75" s="36">
        <f>SUM(P75:U75)</f>
        <v>10.93</v>
      </c>
      <c r="W75" s="42">
        <f>IF(F75&lt;$X$1,MAX(F75,$W$1),0)</f>
        <v>45658</v>
      </c>
      <c r="X75" s="43">
        <f>IF(G75&gt;$W$1,MIN(G75,$X$1),0)</f>
        <v>45839</v>
      </c>
      <c r="Y75" s="44">
        <f>IF(W75=0,0,ROUND((VLOOKUP(YEAR(EDATE(W75,-2)),CPI!$A:$M,MONTH(EDATE(W75,-2))+1,FALSE)*(DAY(W75)-1)+VLOOKUP(YEAR(EDATE(W75,-3)),CPI!$A:$M,MONTH(EDATE(W75,-3))+1,FALSE)*(DAY(EOMONTH(W75,0))-DAY(W75)+1))/DAY(EOMONTH(W75,0)),5))</f>
        <v>315.66399999999999</v>
      </c>
      <c r="Z75" s="44">
        <f>IF(X75=0,0,ROUND((VLOOKUP(YEAR(EDATE(X75,-2)),CPI!$A:$M,MONTH(EDATE(X75,-2))+1,FALSE)*(DAY(X75)-1)+VLOOKUP(YEAR(EDATE(X75,-3)),CPI!$A:$M,MONTH(EDATE(X75,-3))+1,FALSE)*(DAY(EOMONTH(X75,0))-DAY(X75)+1))/DAY(EOMONTH(X75,0)),5))</f>
        <v>320.79500000000002</v>
      </c>
      <c r="AA75" s="44">
        <f>ROUND((VLOOKUP(YEAR(EDATE(F75,-2)),CPI!$A:$M,MONTH(EDATE(F75,-2))+1,FALSE)*(DAY(F75)-1)+VLOOKUP(YEAR(EDATE(F75,-3)),CPI!$A:$M,MONTH(EDATE(F75,-3))+1,FALSE)*(DAY(EOMONTH(F75,0))-DAY(F75)+1))/DAY(EOMONTH(F75,0)),5)</f>
        <v>310.26236999999998</v>
      </c>
      <c r="AB75" s="45">
        <f>IF(G75&lt;D$1,E$1,IF(G75&gt;D$2,E$2,ROUND((VLOOKUP(YEAR(EDATE(G75,-2)),CPI!$A:$M,MONTH(EDATE(G75,-2))+1,FALSE)*(DAY(G75)-1)+VLOOKUP(YEAR(EDATE(G75,-3)),CPI!$A:$M,MONTH(EDATE(G75,-3))+1,FALSE)*(DAY(EOMONTH(G75,0))-DAY(G75)+1))/DAY(EOMONTH(G75,0)),5)))</f>
        <v>0</v>
      </c>
      <c r="AC75" s="60" t="str">
        <f t="shared" si="15"/>
        <v/>
      </c>
      <c r="AD75" s="46">
        <f t="shared" si="6"/>
        <v>16.589999999999883</v>
      </c>
      <c r="AE75" s="76">
        <f t="shared" si="102"/>
        <v>0</v>
      </c>
      <c r="AF75" s="71">
        <f t="shared" ref="AF75" si="128">IF(AND(F75&lt;=AH$2,AH$2&lt;=G75),ROUND(ROUND(AH$1/E75,5)*H75,2),0)</f>
        <v>1032.57</v>
      </c>
      <c r="AG75" s="71">
        <f t="shared" si="113"/>
        <v>1.74</v>
      </c>
      <c r="AH75" s="87">
        <f t="shared" ref="AH75" si="129">AF75+AG75</f>
        <v>1034.31</v>
      </c>
      <c r="AI75" s="115">
        <f t="shared" ref="AI75" si="130">IF(AND(F75&lt;=AH$2,AH$2&lt;=G75),VLOOKUP(TEXT(C75,"yyyy-mmdd")&amp;"-"&amp;TEXT(A75,"0.000"),wsj_quotes,10,FALSE),0)</f>
        <v>101.875</v>
      </c>
      <c r="AJ75" s="36">
        <f t="shared" ref="AJ75" si="131">AF75*(AI75/100)</f>
        <v>1051.9306875</v>
      </c>
      <c r="AK75" s="37">
        <f t="shared" ref="AK75" si="132">AJ75+AG75</f>
        <v>1053.6706875</v>
      </c>
      <c r="AN75" s="8">
        <v>45397</v>
      </c>
      <c r="AO75" s="4" t="b">
        <f t="shared" si="106"/>
        <v>1</v>
      </c>
    </row>
    <row r="76" spans="1:41" x14ac:dyDescent="0.3">
      <c r="A76" s="29">
        <v>0.25</v>
      </c>
      <c r="B76" s="7">
        <v>10</v>
      </c>
      <c r="C76" s="8">
        <v>47314</v>
      </c>
      <c r="D76" s="149">
        <f t="shared" si="100"/>
        <v>43661</v>
      </c>
      <c r="E76" s="150">
        <f>ROUND((VLOOKUP(YEAR(EDATE(D76,-2)),CPI!$A:$M,MONTH(EDATE(D76,-2))+1,FALSE)*(DAY(D76)-1)+VLOOKUP(YEAR(EDATE(D76,-3)),CPI!$A:$M,MONTH(EDATE(D76,-3))+1,FALSE)*(DAY(EOMONTH(D76,0))-DAY(D76)+1))/DAY(EOMONTH(D76,0)),5)</f>
        <v>255.79367999999999</v>
      </c>
      <c r="F76" s="30">
        <v>43677</v>
      </c>
      <c r="G76" s="31">
        <v>47314</v>
      </c>
      <c r="H76" s="32">
        <v>1000</v>
      </c>
      <c r="I76" s="33">
        <f t="shared" si="34"/>
        <v>1.25</v>
      </c>
      <c r="J76" s="33">
        <f t="shared" si="34"/>
        <v>0</v>
      </c>
      <c r="K76" s="33">
        <f t="shared" si="34"/>
        <v>0</v>
      </c>
      <c r="L76" s="29">
        <f t="shared" si="34"/>
        <v>1.25</v>
      </c>
      <c r="M76" s="33">
        <f t="shared" si="34"/>
        <v>0</v>
      </c>
      <c r="N76" s="34">
        <f t="shared" si="34"/>
        <v>0</v>
      </c>
      <c r="O76" s="34">
        <f>SUM(I76:N76)</f>
        <v>2.5</v>
      </c>
      <c r="P76" s="35">
        <f t="shared" si="24"/>
        <v>1.54</v>
      </c>
      <c r="Q76" s="36">
        <f t="shared" si="25"/>
        <v>0</v>
      </c>
      <c r="R76" s="37">
        <f t="shared" si="26"/>
        <v>0</v>
      </c>
      <c r="S76" s="35">
        <f t="shared" si="27"/>
        <v>0</v>
      </c>
      <c r="T76" s="36">
        <f t="shared" si="28"/>
        <v>0</v>
      </c>
      <c r="U76" s="37">
        <f t="shared" si="29"/>
        <v>0</v>
      </c>
      <c r="V76" s="36">
        <f>SUM(P76:U76)</f>
        <v>1.54</v>
      </c>
      <c r="W76" s="42">
        <f>IF(F76&lt;$X$1,MAX(F76,$W$1),0)</f>
        <v>45658</v>
      </c>
      <c r="X76" s="43">
        <f>IF(G76&gt;$W$1,MIN(G76,$X$1),0)</f>
        <v>45839</v>
      </c>
      <c r="Y76" s="44">
        <f>IF(W76=0,0,ROUND((VLOOKUP(YEAR(EDATE(W76,-2)),CPI!$A:$M,MONTH(EDATE(W76,-2))+1,FALSE)*(DAY(W76)-1)+VLOOKUP(YEAR(EDATE(W76,-3)),CPI!$A:$M,MONTH(EDATE(W76,-3))+1,FALSE)*(DAY(EOMONTH(W76,0))-DAY(W76)+1))/DAY(EOMONTH(W76,0)),5))</f>
        <v>315.66399999999999</v>
      </c>
      <c r="Z76" s="44">
        <f>IF(X76=0,0,ROUND((VLOOKUP(YEAR(EDATE(X76,-2)),CPI!$A:$M,MONTH(EDATE(X76,-2))+1,FALSE)*(DAY(X76)-1)+VLOOKUP(YEAR(EDATE(X76,-3)),CPI!$A:$M,MONTH(EDATE(X76,-3))+1,FALSE)*(DAY(EOMONTH(X76,0))-DAY(X76)+1))/DAY(EOMONTH(X76,0)),5))</f>
        <v>320.79500000000002</v>
      </c>
      <c r="AA76" s="44">
        <f>ROUND((VLOOKUP(YEAR(EDATE(F76,-2)),CPI!$A:$M,MONTH(EDATE(F76,-2))+1,FALSE)*(DAY(F76)-1)+VLOOKUP(YEAR(EDATE(F76,-3)),CPI!$A:$M,MONTH(EDATE(F76,-3))+1,FALSE)*(DAY(EOMONTH(F76,0))-DAY(F76)+1))/DAY(EOMONTH(F76,0)),5)</f>
        <v>256.07445000000001</v>
      </c>
      <c r="AB76" s="45">
        <f>IF(G76&lt;D$1,E$1,IF(G76&gt;D$2,E$2,ROUND((VLOOKUP(YEAR(EDATE(G76,-2)),CPI!$A:$M,MONTH(EDATE(G76,-2))+1,FALSE)*(DAY(G76)-1)+VLOOKUP(YEAR(EDATE(G76,-3)),CPI!$A:$M,MONTH(EDATE(G76,-3))+1,FALSE)*(DAY(EOMONTH(G76,0))-DAY(G76)+1))/DAY(EOMONTH(G76,0)),5)))</f>
        <v>0</v>
      </c>
      <c r="AC76" s="60" t="str">
        <f t="shared" si="15"/>
        <v/>
      </c>
      <c r="AD76" s="46">
        <f t="shared" si="6"/>
        <v>20.059999999999967</v>
      </c>
      <c r="AE76" s="76">
        <f t="shared" si="102"/>
        <v>0</v>
      </c>
      <c r="AF76" s="71">
        <f t="shared" si="36"/>
        <v>1248.5899999999999</v>
      </c>
      <c r="AG76" s="71">
        <f t="shared" si="113"/>
        <v>1.03</v>
      </c>
      <c r="AH76" s="87">
        <f t="shared" ref="AH76:AH78" si="133">AF76+AG76</f>
        <v>1249.6199999999999</v>
      </c>
      <c r="AI76" s="115">
        <f t="shared" si="99"/>
        <v>94.906250000000014</v>
      </c>
      <c r="AJ76" s="36">
        <f t="shared" si="104"/>
        <v>1184.989946875</v>
      </c>
      <c r="AK76" s="37">
        <f t="shared" si="105"/>
        <v>1186.019946875</v>
      </c>
      <c r="AN76" s="8">
        <v>43661</v>
      </c>
      <c r="AO76" s="4" t="b">
        <f t="shared" si="106"/>
        <v>1</v>
      </c>
    </row>
    <row r="77" spans="1:41" x14ac:dyDescent="0.3">
      <c r="A77" s="29">
        <v>1.625</v>
      </c>
      <c r="B77" s="7">
        <v>5</v>
      </c>
      <c r="C77" s="8">
        <v>47406</v>
      </c>
      <c r="D77" s="149">
        <f t="shared" si="100"/>
        <v>45580</v>
      </c>
      <c r="E77" s="150">
        <f>ROUND((VLOOKUP(YEAR(EDATE(D77,-2)),CPI!$A:$M,MONTH(EDATE(D77,-2))+1,FALSE)*(DAY(D77)-1)+VLOOKUP(YEAR(EDATE(D77,-3)),CPI!$A:$M,MONTH(EDATE(D77,-3))+1,FALSE)*(DAY(EOMONTH(D77,0))-DAY(D77)+1))/DAY(EOMONTH(D77,0)),5)</f>
        <v>314.65561000000002</v>
      </c>
      <c r="F77" s="30">
        <v>45596</v>
      </c>
      <c r="G77" s="31">
        <v>47406</v>
      </c>
      <c r="H77" s="32">
        <v>1000</v>
      </c>
      <c r="I77" s="33">
        <f t="shared" ref="I77:N77" si="134">IF(AND($F77&lt;I$3,I$3&lt;=$G77,MOD(MONTH($C77),6)=MOD(MONTH(I$3),6)),$H77*($A77/200),0)</f>
        <v>0</v>
      </c>
      <c r="J77" s="33">
        <f t="shared" si="134"/>
        <v>0</v>
      </c>
      <c r="K77" s="33">
        <f t="shared" si="134"/>
        <v>8.125</v>
      </c>
      <c r="L77" s="29">
        <f t="shared" si="134"/>
        <v>0</v>
      </c>
      <c r="M77" s="33">
        <f t="shared" si="134"/>
        <v>0</v>
      </c>
      <c r="N77" s="34">
        <f t="shared" si="134"/>
        <v>8.125</v>
      </c>
      <c r="O77" s="34">
        <f t="shared" ref="O77" si="135">SUM(I77:N77)</f>
        <v>16.25</v>
      </c>
      <c r="P77" s="35">
        <f t="shared" si="24"/>
        <v>0</v>
      </c>
      <c r="Q77" s="36">
        <f t="shared" si="25"/>
        <v>0</v>
      </c>
      <c r="R77" s="37">
        <f t="shared" si="26"/>
        <v>8.2200000000000006</v>
      </c>
      <c r="S77" s="35">
        <f t="shared" si="27"/>
        <v>0</v>
      </c>
      <c r="T77" s="36">
        <f t="shared" si="28"/>
        <v>0</v>
      </c>
      <c r="U77" s="37">
        <f t="shared" si="29"/>
        <v>0</v>
      </c>
      <c r="V77" s="36">
        <f t="shared" ref="V77:V80" si="136">SUM(P77:U77)</f>
        <v>8.2200000000000006</v>
      </c>
      <c r="W77" s="42">
        <f t="shared" ref="W77" si="137">IF(F77&lt;$X$1,MAX(F77,$W$1),0)</f>
        <v>45658</v>
      </c>
      <c r="X77" s="43">
        <f t="shared" ref="X77" si="138">IF(G77&gt;$W$1,MIN(G77,$X$1),0)</f>
        <v>45839</v>
      </c>
      <c r="Y77" s="44">
        <f>IF(W77=0,0,ROUND((VLOOKUP(YEAR(EDATE(W77,-2)),CPI!$A:$M,MONTH(EDATE(W77,-2))+1,FALSE)*(DAY(W77)-1)+VLOOKUP(YEAR(EDATE(W77,-3)),CPI!$A:$M,MONTH(EDATE(W77,-3))+1,FALSE)*(DAY(EOMONTH(W77,0))-DAY(W77)+1))/DAY(EOMONTH(W77,0)),5))</f>
        <v>315.66399999999999</v>
      </c>
      <c r="Z77" s="44">
        <f>IF(X77=0,0,ROUND((VLOOKUP(YEAR(EDATE(X77,-2)),CPI!$A:$M,MONTH(EDATE(X77,-2))+1,FALSE)*(DAY(X77)-1)+VLOOKUP(YEAR(EDATE(X77,-3)),CPI!$A:$M,MONTH(EDATE(X77,-3))+1,FALSE)*(DAY(EOMONTH(X77,0))-DAY(X77)+1))/DAY(EOMONTH(X77,0)),5))</f>
        <v>320.79500000000002</v>
      </c>
      <c r="AA77" s="44">
        <f>ROUND((VLOOKUP(YEAR(EDATE(F77,-2)),CPI!$A:$M,MONTH(EDATE(F77,-2))+1,FALSE)*(DAY(F77)-1)+VLOOKUP(YEAR(EDATE(F77,-3)),CPI!$A:$M,MONTH(EDATE(F77,-3))+1,FALSE)*(DAY(EOMONTH(F77,0))-DAY(F77)+1))/DAY(EOMONTH(F77,0)),5)</f>
        <v>314.78773999999999</v>
      </c>
      <c r="AB77" s="45">
        <f>IF(G77&lt;D$1,E$1,IF(G77&gt;D$2,E$2,ROUND((VLOOKUP(YEAR(EDATE(G77,-2)),CPI!$A:$M,MONTH(EDATE(G77,-2))+1,FALSE)*(DAY(G77)-1)+VLOOKUP(YEAR(EDATE(G77,-3)),CPI!$A:$M,MONTH(EDATE(G77,-3))+1,FALSE)*(DAY(EOMONTH(G77,0))-DAY(G77)+1))/DAY(EOMONTH(G77,0)),5)))</f>
        <v>0</v>
      </c>
      <c r="AC77" s="60" t="str">
        <f t="shared" si="15"/>
        <v/>
      </c>
      <c r="AD77" s="46">
        <f t="shared" si="6"/>
        <v>16.309999999999825</v>
      </c>
      <c r="AE77" s="76">
        <f t="shared" si="102"/>
        <v>0</v>
      </c>
      <c r="AF77" s="71">
        <f>IF(AND(F77&lt;=AH$2,AH$2&lt;=G77),ROUND(ROUND(AH$1/E77,5)*H77,2),0)</f>
        <v>1015.02</v>
      </c>
      <c r="AG77" s="71">
        <f t="shared" ref="AG77" si="139">IF(AND(F77&lt;=AH$2,AH$2&lt;C77),ROUND(AF77*(A77/200)*COUPDAYBS(AH$2,C77,2,1)/COUPDAYS(AH$2,C77,2,1),2),0)</f>
        <v>1.31</v>
      </c>
      <c r="AH77" s="87">
        <f t="shared" si="133"/>
        <v>1016.3299999999999</v>
      </c>
      <c r="AI77" s="115">
        <f>IF(AND(F77&lt;=AH$2,AH$2&lt;=G77),VLOOKUP(TEXT(C77,"yyyy-mmdd")&amp;"-"&amp;TEXT(A77,"0.000"),wsj_quotes,10,FALSE),0)</f>
        <v>100.21874999999997</v>
      </c>
      <c r="AJ77" s="36">
        <f t="shared" ref="AJ77" si="140">AF77*(AI77/100)</f>
        <v>1017.2403562499998</v>
      </c>
      <c r="AK77" s="37">
        <f t="shared" ref="AK77" si="141">AJ77+AG77</f>
        <v>1018.5503562499997</v>
      </c>
      <c r="AN77" s="8">
        <v>45580</v>
      </c>
      <c r="AO77" s="4" t="b">
        <f t="shared" si="106"/>
        <v>1</v>
      </c>
    </row>
    <row r="78" spans="1:41" x14ac:dyDescent="0.3">
      <c r="A78" s="29">
        <v>0.125</v>
      </c>
      <c r="B78" s="7">
        <v>10</v>
      </c>
      <c r="C78" s="8">
        <v>47498</v>
      </c>
      <c r="D78" s="149">
        <f t="shared" si="100"/>
        <v>43845</v>
      </c>
      <c r="E78" s="150">
        <f>ROUND((VLOOKUP(YEAR(EDATE(D78,-2)),CPI!$A:$M,MONTH(EDATE(D78,-2))+1,FALSE)*(DAY(D78)-1)+VLOOKUP(YEAR(EDATE(D78,-3)),CPI!$A:$M,MONTH(EDATE(D78,-3))+1,FALSE)*(DAY(EOMONTH(D78,0))-DAY(D78)+1))/DAY(EOMONTH(D78,0)),5)</f>
        <v>257.28368</v>
      </c>
      <c r="F78" s="30">
        <v>43861</v>
      </c>
      <c r="G78" s="31">
        <v>47498</v>
      </c>
      <c r="H78" s="32">
        <v>1000</v>
      </c>
      <c r="I78" s="33">
        <f t="shared" ref="I78:N83" si="142">IF(AND($F78&lt;I$3,I$3&lt;=$G78,MOD(MONTH($C78),6)=MOD(MONTH(I$3),6)),$H78*($A78/200),0)</f>
        <v>0.625</v>
      </c>
      <c r="J78" s="33">
        <f t="shared" si="142"/>
        <v>0</v>
      </c>
      <c r="K78" s="33">
        <f t="shared" si="142"/>
        <v>0</v>
      </c>
      <c r="L78" s="29">
        <f t="shared" si="142"/>
        <v>0.625</v>
      </c>
      <c r="M78" s="33">
        <f t="shared" si="142"/>
        <v>0</v>
      </c>
      <c r="N78" s="34">
        <f t="shared" si="142"/>
        <v>0</v>
      </c>
      <c r="O78" s="34">
        <f t="shared" ref="O78" si="143">SUM(I78:N78)</f>
        <v>1.25</v>
      </c>
      <c r="P78" s="35">
        <f t="shared" ref="P78:P80" si="144">ROUND(ROUND(P$1/$E78,5)*I78,2)</f>
        <v>0.77</v>
      </c>
      <c r="Q78" s="36">
        <f t="shared" ref="Q78:Q80" si="145">ROUND(ROUND(Q$1/$E78,5)*J78,2)</f>
        <v>0</v>
      </c>
      <c r="R78" s="37">
        <f t="shared" ref="R78:R80" si="146">ROUND(ROUND(R$1/$E78,5)*K78,2)</f>
        <v>0</v>
      </c>
      <c r="S78" s="35">
        <f t="shared" ref="S78:S80" si="147">ROUND(ROUND(S$1/$E78,5)*L78,2)</f>
        <v>0</v>
      </c>
      <c r="T78" s="36">
        <f t="shared" ref="T78:T80" si="148">ROUND(ROUND(T$1/$E78,5)*M78,2)</f>
        <v>0</v>
      </c>
      <c r="U78" s="37">
        <f t="shared" ref="U78:U80" si="149">ROUND(ROUND(U$1/$E78,5)*N78,2)</f>
        <v>0</v>
      </c>
      <c r="V78" s="36">
        <f t="shared" si="136"/>
        <v>0.77</v>
      </c>
      <c r="W78" s="42">
        <f t="shared" ref="W78" si="150">IF(F78&lt;$X$1,MAX(F78,$W$1),0)</f>
        <v>45658</v>
      </c>
      <c r="X78" s="43">
        <f t="shared" ref="X78" si="151">IF(G78&gt;$W$1,MIN(G78,$X$1),0)</f>
        <v>45839</v>
      </c>
      <c r="Y78" s="44">
        <f>IF(W78=0,0,ROUND((VLOOKUP(YEAR(EDATE(W78,-2)),CPI!$A:$M,MONTH(EDATE(W78,-2))+1,FALSE)*(DAY(W78)-1)+VLOOKUP(YEAR(EDATE(W78,-3)),CPI!$A:$M,MONTH(EDATE(W78,-3))+1,FALSE)*(DAY(EOMONTH(W78,0))-DAY(W78)+1))/DAY(EOMONTH(W78,0)),5))</f>
        <v>315.66399999999999</v>
      </c>
      <c r="Z78" s="44">
        <f>IF(X78=0,0,ROUND((VLOOKUP(YEAR(EDATE(X78,-2)),CPI!$A:$M,MONTH(EDATE(X78,-2))+1,FALSE)*(DAY(X78)-1)+VLOOKUP(YEAR(EDATE(X78,-3)),CPI!$A:$M,MONTH(EDATE(X78,-3))+1,FALSE)*(DAY(EOMONTH(X78,0))-DAY(X78)+1))/DAY(EOMONTH(X78,0)),5))</f>
        <v>320.79500000000002</v>
      </c>
      <c r="AA78" s="44">
        <f>ROUND((VLOOKUP(YEAR(EDATE(F78,-2)),CPI!$A:$M,MONTH(EDATE(F78,-2))+1,FALSE)*(DAY(F78)-1)+VLOOKUP(YEAR(EDATE(F78,-3)),CPI!$A:$M,MONTH(EDATE(F78,-3))+1,FALSE)*(DAY(EOMONTH(F78,0))-DAY(F78)+1))/DAY(EOMONTH(F78,0)),5)</f>
        <v>257.21244999999999</v>
      </c>
      <c r="AB78" s="45">
        <f>IF(G78&lt;D$1,E$1,IF(G78&gt;D$2,E$2,ROUND((VLOOKUP(YEAR(EDATE(G78,-2)),CPI!$A:$M,MONTH(EDATE(G78,-2))+1,FALSE)*(DAY(G78)-1)+VLOOKUP(YEAR(EDATE(G78,-3)),CPI!$A:$M,MONTH(EDATE(G78,-3))+1,FALSE)*(DAY(EOMONTH(G78,0))-DAY(G78)+1))/DAY(EOMONTH(G78,0)),5)))</f>
        <v>0</v>
      </c>
      <c r="AC78" s="60" t="str">
        <f t="shared" si="15"/>
        <v/>
      </c>
      <c r="AD78" s="46">
        <f t="shared" si="6"/>
        <v>19.940000000000069</v>
      </c>
      <c r="AE78" s="76">
        <f t="shared" si="102"/>
        <v>0</v>
      </c>
      <c r="AF78" s="71">
        <f t="shared" ref="AF78:AF80" si="152">IF(AND(F78&lt;=AH$2,AH$2&lt;=G78),ROUND(ROUND(AH$1/E78,5)*H78,2),0)</f>
        <v>1241.3599999999999</v>
      </c>
      <c r="AG78" s="71">
        <f t="shared" si="113"/>
        <v>0.51</v>
      </c>
      <c r="AH78" s="87">
        <f t="shared" si="133"/>
        <v>1241.8699999999999</v>
      </c>
      <c r="AI78" s="115">
        <f t="shared" si="99"/>
        <v>93.09375</v>
      </c>
      <c r="AJ78" s="36">
        <f t="shared" si="104"/>
        <v>1155.628575</v>
      </c>
      <c r="AK78" s="37">
        <f t="shared" si="105"/>
        <v>1156.1385749999999</v>
      </c>
      <c r="AN78" s="8">
        <v>43845</v>
      </c>
      <c r="AO78" s="4" t="b">
        <f t="shared" si="106"/>
        <v>1</v>
      </c>
    </row>
    <row r="79" spans="1:41" x14ac:dyDescent="0.3">
      <c r="A79" s="29">
        <v>1.625</v>
      </c>
      <c r="B79" s="7">
        <v>5</v>
      </c>
      <c r="C79" s="8">
        <v>47588</v>
      </c>
      <c r="D79" s="149">
        <f t="shared" ref="D79" si="153">EDATE(C79,-12*B79)</f>
        <v>45762</v>
      </c>
      <c r="E79" s="150">
        <f>ROUND((VLOOKUP(YEAR(EDATE(D79,-2)),CPI!$A:$M,MONTH(EDATE(D79,-2))+1,FALSE)*(DAY(D79)-1)+VLOOKUP(YEAR(EDATE(D79,-3)),CPI!$A:$M,MONTH(EDATE(D79,-3))+1,FALSE)*(DAY(EOMONTH(D79,0))-DAY(D79)+1))/DAY(EOMONTH(D79,0)),5)</f>
        <v>318.32947000000001</v>
      </c>
      <c r="F79" s="30">
        <v>45777</v>
      </c>
      <c r="G79" s="31">
        <v>47588</v>
      </c>
      <c r="H79" s="32">
        <v>1000</v>
      </c>
      <c r="I79" s="33">
        <f t="shared" si="142"/>
        <v>0</v>
      </c>
      <c r="J79" s="33">
        <f t="shared" si="142"/>
        <v>0</v>
      </c>
      <c r="K79" s="33">
        <f>IF(AND($F79&lt;K$3,K$3&lt;=$G79,MOD(MONTH($C79),6)=MOD(MONTH(K$3),6)),$H79*($A79/200),0)</f>
        <v>0</v>
      </c>
      <c r="L79" s="29">
        <f t="shared" si="142"/>
        <v>0</v>
      </c>
      <c r="M79" s="33">
        <f t="shared" si="142"/>
        <v>0</v>
      </c>
      <c r="N79" s="34">
        <f t="shared" si="142"/>
        <v>8.125</v>
      </c>
      <c r="O79" s="34">
        <f t="shared" ref="O79" si="154">SUM(I79:N79)</f>
        <v>8.125</v>
      </c>
      <c r="P79" s="35">
        <f t="shared" ref="P79" si="155">ROUND(ROUND(P$1/$E79,5)*I79,2)</f>
        <v>0</v>
      </c>
      <c r="Q79" s="36">
        <f t="shared" ref="Q79" si="156">ROUND(ROUND(Q$1/$E79,5)*J79,2)</f>
        <v>0</v>
      </c>
      <c r="R79" s="37">
        <f>ROUND(ROUND(R$1/$E79,5)*K79,2)</f>
        <v>0</v>
      </c>
      <c r="S79" s="35">
        <f t="shared" ref="S79" si="157">ROUND(ROUND(S$1/$E79,5)*L79,2)</f>
        <v>0</v>
      </c>
      <c r="T79" s="36">
        <f t="shared" ref="T79" si="158">ROUND(ROUND(T$1/$E79,5)*M79,2)</f>
        <v>0</v>
      </c>
      <c r="U79" s="37">
        <f t="shared" ref="U79" si="159">ROUND(ROUND(U$1/$E79,5)*N79,2)</f>
        <v>0</v>
      </c>
      <c r="V79" s="36">
        <f t="shared" ref="V79" si="160">SUM(P79:U79)</f>
        <v>0</v>
      </c>
      <c r="W79" s="42">
        <f t="shared" ref="W79" si="161">IF(F79&lt;$X$1,MAX(F79,$W$1),0)</f>
        <v>45777</v>
      </c>
      <c r="X79" s="43">
        <f t="shared" ref="X79" si="162">IF(G79&gt;$W$1,MIN(G79,$X$1),0)</f>
        <v>45839</v>
      </c>
      <c r="Y79" s="44">
        <f>IF(W79=0,0,ROUND((VLOOKUP(YEAR(EDATE(W79,-2)),CPI!$A:$M,MONTH(EDATE(W79,-2))+1,FALSE)*(DAY(W79)-1)+VLOOKUP(YEAR(EDATE(W79,-3)),CPI!$A:$M,MONTH(EDATE(W79,-3))+1,FALSE)*(DAY(EOMONTH(W79,0))-DAY(W79)+1))/DAY(EOMONTH(W79,0)),5))</f>
        <v>319.03496999999999</v>
      </c>
      <c r="Z79" s="44">
        <f>IF(X79=0,0,ROUND((VLOOKUP(YEAR(EDATE(X79,-2)),CPI!$A:$M,MONTH(EDATE(X79,-2))+1,FALSE)*(DAY(X79)-1)+VLOOKUP(YEAR(EDATE(X79,-3)),CPI!$A:$M,MONTH(EDATE(X79,-3))+1,FALSE)*(DAY(EOMONTH(X79,0))-DAY(X79)+1))/DAY(EOMONTH(X79,0)),5))</f>
        <v>320.79500000000002</v>
      </c>
      <c r="AA79" s="44">
        <f>ROUND((VLOOKUP(YEAR(EDATE(F79,-2)),CPI!$A:$M,MONTH(EDATE(F79,-2))+1,FALSE)*(DAY(F79)-1)+VLOOKUP(YEAR(EDATE(F79,-3)),CPI!$A:$M,MONTH(EDATE(F79,-3))+1,FALSE)*(DAY(EOMONTH(F79,0))-DAY(F79)+1))/DAY(EOMONTH(F79,0)),5)</f>
        <v>319.03496999999999</v>
      </c>
      <c r="AB79" s="45">
        <f>IF(G79&lt;D$1,E$1,IF(G79&gt;D$2,E$2,ROUND((VLOOKUP(YEAR(EDATE(G79,-2)),CPI!$A:$M,MONTH(EDATE(G79,-2))+1,FALSE)*(DAY(G79)-1)+VLOOKUP(YEAR(EDATE(G79,-3)),CPI!$A:$M,MONTH(EDATE(G79,-3))+1,FALSE)*(DAY(EOMONTH(G79,0))-DAY(G79)+1))/DAY(EOMONTH(G79,0)),5)))</f>
        <v>0</v>
      </c>
      <c r="AC79" s="60" t="str">
        <f t="shared" si="15"/>
        <v>04/30-07/01</v>
      </c>
      <c r="AD79" s="46">
        <f t="shared" si="6"/>
        <v>5.5299999999998128</v>
      </c>
      <c r="AE79" s="76">
        <f t="shared" ref="AE79" si="163">IF(ISERROR(AB79),0,IF(AB79=0,0,H79*(ROUND(AB79/E79,5)-ROUND(AA79/E79,5))))</f>
        <v>0</v>
      </c>
      <c r="AF79" s="71">
        <f t="shared" ref="AF79" si="164">IF(AND(F79&lt;=AH$2,AH$2&lt;=G79),ROUND(ROUND(AH$1/E79,5)*H79,2),0)</f>
        <v>1003.31</v>
      </c>
      <c r="AG79" s="71">
        <f t="shared" ref="AG79" si="165">IF(AND(F79&lt;=AH$2,AH$2&lt;C79),ROUND(AF79*(A79/200)*COUPDAYBS(AH$2,C79,2,1)/COUPDAYS(AH$2,C79,2,1),2),0)</f>
        <v>1.29</v>
      </c>
      <c r="AH79" s="87">
        <f t="shared" ref="AH79" si="166">AF79+AG79</f>
        <v>1004.5999999999999</v>
      </c>
      <c r="AI79" s="115">
        <f t="shared" ref="AI79" si="167">IF(AND(F79&lt;=AH$2,AH$2&lt;=G79),VLOOKUP(TEXT(C79,"yyyy-mmdd")&amp;"-"&amp;TEXT(A79,"0.000"),wsj_quotes,10,FALSE),0)</f>
        <v>99.53125</v>
      </c>
      <c r="AJ79" s="36">
        <f t="shared" ref="AJ79" si="168">AF79*(AI79/100)</f>
        <v>998.60698437500002</v>
      </c>
      <c r="AK79" s="37">
        <f t="shared" ref="AK79" si="169">AJ79+AG79</f>
        <v>999.89698437499999</v>
      </c>
      <c r="AN79" s="8">
        <v>43845</v>
      </c>
      <c r="AO79" s="4" t="b">
        <f t="shared" ref="AO79" si="170">AN79=D79</f>
        <v>0</v>
      </c>
    </row>
    <row r="80" spans="1:41" x14ac:dyDescent="0.3">
      <c r="A80" s="29">
        <v>0.125</v>
      </c>
      <c r="B80" s="7">
        <v>10</v>
      </c>
      <c r="C80" s="8">
        <v>47679</v>
      </c>
      <c r="D80" s="149">
        <f t="shared" si="100"/>
        <v>44027</v>
      </c>
      <c r="E80" s="150">
        <f>ROUND((VLOOKUP(YEAR(EDATE(D80,-2)),CPI!$A:$M,MONTH(EDATE(D80,-2))+1,FALSE)*(DAY(D80)-1)+VLOOKUP(YEAR(EDATE(D80,-3)),CPI!$A:$M,MONTH(EDATE(D80,-3))+1,FALSE)*(DAY(EOMONTH(D80,0))-DAY(D80)+1))/DAY(EOMONTH(D80,0)),5)</f>
        <v>256.39125999999999</v>
      </c>
      <c r="F80" s="30">
        <v>44043</v>
      </c>
      <c r="G80" s="31">
        <v>47679</v>
      </c>
      <c r="H80" s="32">
        <v>1000</v>
      </c>
      <c r="I80" s="33">
        <f t="shared" si="142"/>
        <v>0.625</v>
      </c>
      <c r="J80" s="33">
        <f t="shared" si="142"/>
        <v>0</v>
      </c>
      <c r="K80" s="33">
        <f t="shared" si="142"/>
        <v>0</v>
      </c>
      <c r="L80" s="29">
        <f t="shared" si="142"/>
        <v>0.625</v>
      </c>
      <c r="M80" s="33">
        <f t="shared" si="142"/>
        <v>0</v>
      </c>
      <c r="N80" s="34">
        <f t="shared" si="142"/>
        <v>0</v>
      </c>
      <c r="O80" s="34">
        <f>SUM(I80:N80)</f>
        <v>1.25</v>
      </c>
      <c r="P80" s="35">
        <f t="shared" si="144"/>
        <v>0.77</v>
      </c>
      <c r="Q80" s="36">
        <f t="shared" si="145"/>
        <v>0</v>
      </c>
      <c r="R80" s="37">
        <f t="shared" si="146"/>
        <v>0</v>
      </c>
      <c r="S80" s="35">
        <f t="shared" si="147"/>
        <v>0</v>
      </c>
      <c r="T80" s="36">
        <f t="shared" si="148"/>
        <v>0</v>
      </c>
      <c r="U80" s="37">
        <f t="shared" si="149"/>
        <v>0</v>
      </c>
      <c r="V80" s="36">
        <f t="shared" si="136"/>
        <v>0.77</v>
      </c>
      <c r="W80" s="42">
        <f>IF(F80&lt;$X$1,MAX(F80,$W$1),0)</f>
        <v>45658</v>
      </c>
      <c r="X80" s="43">
        <f>IF(G80&gt;$W$1,MIN(G80,$X$1),0)</f>
        <v>45839</v>
      </c>
      <c r="Y80" s="44">
        <f>IF(W80=0,0,ROUND((VLOOKUP(YEAR(EDATE(W80,-2)),CPI!$A:$M,MONTH(EDATE(W80,-2))+1,FALSE)*(DAY(W80)-1)+VLOOKUP(YEAR(EDATE(W80,-3)),CPI!$A:$M,MONTH(EDATE(W80,-3))+1,FALSE)*(DAY(EOMONTH(W80,0))-DAY(W80)+1))/DAY(EOMONTH(W80,0)),5))</f>
        <v>315.66399999999999</v>
      </c>
      <c r="Z80" s="44">
        <f>IF(X80=0,0,ROUND((VLOOKUP(YEAR(EDATE(X80,-2)),CPI!$A:$M,MONTH(EDATE(X80,-2))+1,FALSE)*(DAY(X80)-1)+VLOOKUP(YEAR(EDATE(X80,-3)),CPI!$A:$M,MONTH(EDATE(X80,-3))+1,FALSE)*(DAY(EOMONTH(X80,0))-DAY(X80)+1))/DAY(EOMONTH(X80,0)),5))</f>
        <v>320.79500000000002</v>
      </c>
      <c r="AA80" s="44">
        <f>ROUND((VLOOKUP(YEAR(EDATE(F80,-2)),CPI!$A:$M,MONTH(EDATE(F80,-2))+1,FALSE)*(DAY(F80)-1)+VLOOKUP(YEAR(EDATE(F80,-3)),CPI!$A:$M,MONTH(EDATE(F80,-3))+1,FALSE)*(DAY(EOMONTH(F80,0))-DAY(F80)+1))/DAY(EOMONTH(F80,0)),5)</f>
        <v>256.39384000000001</v>
      </c>
      <c r="AB80" s="45">
        <f>IF(G80&lt;D$1,E$1,IF(G80&gt;D$2,E$2,ROUND((VLOOKUP(YEAR(EDATE(G80,-2)),CPI!$A:$M,MONTH(EDATE(G80,-2))+1,FALSE)*(DAY(G80)-1)+VLOOKUP(YEAR(EDATE(G80,-3)),CPI!$A:$M,MONTH(EDATE(G80,-3))+1,FALSE)*(DAY(EOMONTH(G80,0))-DAY(G80)+1))/DAY(EOMONTH(G80,0)),5)))</f>
        <v>0</v>
      </c>
      <c r="AC80" s="60" t="str">
        <f t="shared" si="15"/>
        <v/>
      </c>
      <c r="AD80" s="46">
        <f t="shared" si="6"/>
        <v>20.010000000000083</v>
      </c>
      <c r="AE80" s="76">
        <f t="shared" si="102"/>
        <v>0</v>
      </c>
      <c r="AF80" s="71">
        <f t="shared" si="152"/>
        <v>1245.68</v>
      </c>
      <c r="AG80" s="71">
        <f t="shared" si="113"/>
        <v>0.51</v>
      </c>
      <c r="AH80" s="87">
        <f t="shared" ref="AH80" si="171">AF80+AG80</f>
        <v>1246.19</v>
      </c>
      <c r="AI80" s="115">
        <f t="shared" si="99"/>
        <v>92.562500000000028</v>
      </c>
      <c r="AJ80" s="36">
        <f t="shared" si="104"/>
        <v>1153.0325500000004</v>
      </c>
      <c r="AK80" s="37">
        <f t="shared" si="105"/>
        <v>1153.5425500000003</v>
      </c>
      <c r="AN80" s="8">
        <v>44027</v>
      </c>
      <c r="AO80" s="4" t="b">
        <f t="shared" si="106"/>
        <v>1</v>
      </c>
    </row>
    <row r="81" spans="1:41" x14ac:dyDescent="0.3">
      <c r="A81" s="29">
        <v>0.125</v>
      </c>
      <c r="B81" s="7">
        <v>10</v>
      </c>
      <c r="C81" s="8">
        <v>47863</v>
      </c>
      <c r="D81" s="149">
        <f t="shared" si="100"/>
        <v>44211</v>
      </c>
      <c r="E81" s="150">
        <f>ROUND((VLOOKUP(YEAR(EDATE(D81,-2)),CPI!$A:$M,MONTH(EDATE(D81,-2))+1,FALSE)*(DAY(D81)-1)+VLOOKUP(YEAR(EDATE(D81,-3)),CPI!$A:$M,MONTH(EDATE(D81,-3))+1,FALSE)*(DAY(EOMONTH(D81,0))-DAY(D81)+1))/DAY(EOMONTH(D81,0)),5)</f>
        <v>260.31619000000001</v>
      </c>
      <c r="F81" s="30">
        <v>44225</v>
      </c>
      <c r="G81" s="31">
        <v>47863</v>
      </c>
      <c r="H81" s="32">
        <v>1000</v>
      </c>
      <c r="I81" s="33">
        <f t="shared" si="142"/>
        <v>0.625</v>
      </c>
      <c r="J81" s="33">
        <f t="shared" si="142"/>
        <v>0</v>
      </c>
      <c r="K81" s="33">
        <f t="shared" si="142"/>
        <v>0</v>
      </c>
      <c r="L81" s="29">
        <f t="shared" si="142"/>
        <v>0.625</v>
      </c>
      <c r="M81" s="33">
        <f t="shared" si="142"/>
        <v>0</v>
      </c>
      <c r="N81" s="34">
        <f t="shared" si="142"/>
        <v>0</v>
      </c>
      <c r="O81" s="34">
        <f>SUM(I81:N81)</f>
        <v>1.25</v>
      </c>
      <c r="P81" s="35">
        <f t="shared" ref="P81" si="172">ROUND(ROUND(P$1/$E81,5)*I81,2)</f>
        <v>0.76</v>
      </c>
      <c r="Q81" s="36">
        <f t="shared" ref="Q81" si="173">ROUND(ROUND(Q$1/$E81,5)*J81,2)</f>
        <v>0</v>
      </c>
      <c r="R81" s="37">
        <f t="shared" ref="R81" si="174">ROUND(ROUND(R$1/$E81,5)*K81,2)</f>
        <v>0</v>
      </c>
      <c r="S81" s="35">
        <f t="shared" ref="S81" si="175">ROUND(ROUND(S$1/$E81,5)*L81,2)</f>
        <v>0</v>
      </c>
      <c r="T81" s="36">
        <f t="shared" ref="T81" si="176">ROUND(ROUND(T$1/$E81,5)*M81,2)</f>
        <v>0</v>
      </c>
      <c r="U81" s="37">
        <f t="shared" ref="U81" si="177">ROUND(ROUND(U$1/$E81,5)*N81,2)</f>
        <v>0</v>
      </c>
      <c r="V81" s="36">
        <f>SUM(P81:U81)</f>
        <v>0.76</v>
      </c>
      <c r="W81" s="42">
        <f>IF(F81&lt;$X$1,MAX(F81,$W$1),0)</f>
        <v>45658</v>
      </c>
      <c r="X81" s="43">
        <f>IF(G81&gt;$W$1,MIN(G81,$X$1),0)</f>
        <v>45839</v>
      </c>
      <c r="Y81" s="44">
        <f>IF(W81=0,0,ROUND((VLOOKUP(YEAR(EDATE(W81,-2)),CPI!$A:$M,MONTH(EDATE(W81,-2))+1,FALSE)*(DAY(W81)-1)+VLOOKUP(YEAR(EDATE(W81,-3)),CPI!$A:$M,MONTH(EDATE(W81,-3))+1,FALSE)*(DAY(EOMONTH(W81,0))-DAY(W81)+1))/DAY(EOMONTH(W81,0)),5))</f>
        <v>315.66399999999999</v>
      </c>
      <c r="Z81" s="44">
        <f>IF(X81=0,0,ROUND((VLOOKUP(YEAR(EDATE(X81,-2)),CPI!$A:$M,MONTH(EDATE(X81,-2))+1,FALSE)*(DAY(X81)-1)+VLOOKUP(YEAR(EDATE(X81,-3)),CPI!$A:$M,MONTH(EDATE(X81,-3))+1,FALSE)*(DAY(EOMONTH(X81,0))-DAY(X81)+1))/DAY(EOMONTH(X81,0)),5))</f>
        <v>320.79500000000002</v>
      </c>
      <c r="AA81" s="44">
        <f>ROUND((VLOOKUP(YEAR(EDATE(F81,-2)),CPI!$A:$M,MONTH(EDATE(F81,-2))+1,FALSE)*(DAY(F81)-1)+VLOOKUP(YEAR(EDATE(F81,-3)),CPI!$A:$M,MONTH(EDATE(F81,-3))+1,FALSE)*(DAY(EOMONTH(F81,0))-DAY(F81)+1))/DAY(EOMONTH(F81,0)),5)</f>
        <v>260.24439000000001</v>
      </c>
      <c r="AB81" s="45">
        <f>IF(G81&lt;D$1,E$1,IF(G81&gt;D$2,E$2,ROUND((VLOOKUP(YEAR(EDATE(G81,-2)),CPI!$A:$M,MONTH(EDATE(G81,-2))+1,FALSE)*(DAY(G81)-1)+VLOOKUP(YEAR(EDATE(G81,-3)),CPI!$A:$M,MONTH(EDATE(G81,-3))+1,FALSE)*(DAY(EOMONTH(G81,0))-DAY(G81)+1))/DAY(EOMONTH(G81,0)),5)))</f>
        <v>0</v>
      </c>
      <c r="AC81" s="60" t="str">
        <f t="shared" si="15"/>
        <v/>
      </c>
      <c r="AD81" s="46">
        <f t="shared" si="6"/>
        <v>19.709999999999894</v>
      </c>
      <c r="AE81" s="76">
        <f t="shared" si="102"/>
        <v>0</v>
      </c>
      <c r="AF81" s="71">
        <f t="shared" ref="AF81" si="178">IF(AND(F81&lt;=AH$2,AH$2&lt;=G81),ROUND(ROUND(AH$1/E81,5)*H81,2),0)</f>
        <v>1226.9000000000001</v>
      </c>
      <c r="AG81" s="71">
        <f t="shared" si="113"/>
        <v>0.5</v>
      </c>
      <c r="AH81" s="87">
        <f t="shared" ref="AH81" si="179">AF81+AG81</f>
        <v>1227.4000000000001</v>
      </c>
      <c r="AI81" s="115">
        <f t="shared" si="99"/>
        <v>91.031250000000014</v>
      </c>
      <c r="AJ81" s="36">
        <f t="shared" si="104"/>
        <v>1116.8624062500003</v>
      </c>
      <c r="AK81" s="37">
        <f t="shared" si="105"/>
        <v>1117.3624062500003</v>
      </c>
      <c r="AN81" s="8">
        <v>44211</v>
      </c>
      <c r="AO81" s="4" t="b">
        <f t="shared" si="106"/>
        <v>1</v>
      </c>
    </row>
    <row r="82" spans="1:41" x14ac:dyDescent="0.3">
      <c r="A82" s="29">
        <v>0.125</v>
      </c>
      <c r="B82" s="7">
        <v>10</v>
      </c>
      <c r="C82" s="8">
        <v>48044</v>
      </c>
      <c r="D82" s="149">
        <f t="shared" si="100"/>
        <v>44392</v>
      </c>
      <c r="E82" s="150">
        <f>ROUND((VLOOKUP(YEAR(EDATE(D82,-2)),CPI!$A:$M,MONTH(EDATE(D82,-2))+1,FALSE)*(DAY(D82)-1)+VLOOKUP(YEAR(EDATE(D82,-3)),CPI!$A:$M,MONTH(EDATE(D82,-3))+1,FALSE)*(DAY(EOMONTH(D82,0))-DAY(D82)+1))/DAY(EOMONTH(D82,0)),5)</f>
        <v>268.02089999999998</v>
      </c>
      <c r="F82" s="30">
        <v>44407</v>
      </c>
      <c r="G82" s="31">
        <v>48044</v>
      </c>
      <c r="H82" s="32">
        <v>1000</v>
      </c>
      <c r="I82" s="33">
        <f t="shared" si="142"/>
        <v>0.625</v>
      </c>
      <c r="J82" s="33">
        <f t="shared" si="142"/>
        <v>0</v>
      </c>
      <c r="K82" s="33">
        <f t="shared" si="142"/>
        <v>0</v>
      </c>
      <c r="L82" s="29">
        <f t="shared" si="142"/>
        <v>0.625</v>
      </c>
      <c r="M82" s="33">
        <f t="shared" si="142"/>
        <v>0</v>
      </c>
      <c r="N82" s="34">
        <f t="shared" si="142"/>
        <v>0</v>
      </c>
      <c r="O82" s="34">
        <f>SUM(I82:N82)</f>
        <v>1.25</v>
      </c>
      <c r="P82" s="35">
        <f t="shared" ref="P82:P83" si="180">ROUND(ROUND(P$1/$E82,5)*I82,2)</f>
        <v>0.74</v>
      </c>
      <c r="Q82" s="36">
        <f t="shared" ref="Q82:Q83" si="181">ROUND(ROUND(Q$1/$E82,5)*J82,2)</f>
        <v>0</v>
      </c>
      <c r="R82" s="37">
        <f t="shared" ref="R82:R83" si="182">ROUND(ROUND(R$1/$E82,5)*K82,2)</f>
        <v>0</v>
      </c>
      <c r="S82" s="35">
        <f t="shared" ref="S82:S83" si="183">ROUND(ROUND(S$1/$E82,5)*L82,2)</f>
        <v>0</v>
      </c>
      <c r="T82" s="36">
        <f t="shared" ref="T82:T83" si="184">ROUND(ROUND(T$1/$E82,5)*M82,2)</f>
        <v>0</v>
      </c>
      <c r="U82" s="37">
        <f t="shared" ref="U82:U83" si="185">ROUND(ROUND(U$1/$E82,5)*N82,2)</f>
        <v>0</v>
      </c>
      <c r="V82" s="36">
        <f>SUM(P82:U82)</f>
        <v>0.74</v>
      </c>
      <c r="W82" s="42">
        <f>IF(F82&lt;$X$1,MAX(F82,$W$1),0)</f>
        <v>45658</v>
      </c>
      <c r="X82" s="43">
        <f>IF(G82&gt;$W$1,MIN(G82,$X$1),0)</f>
        <v>45839</v>
      </c>
      <c r="Y82" s="44">
        <f>IF(W82=0,0,ROUND((VLOOKUP(YEAR(EDATE(W82,-2)),CPI!$A:$M,MONTH(EDATE(W82,-2))+1,FALSE)*(DAY(W82)-1)+VLOOKUP(YEAR(EDATE(W82,-3)),CPI!$A:$M,MONTH(EDATE(W82,-3))+1,FALSE)*(DAY(EOMONTH(W82,0))-DAY(W82)+1))/DAY(EOMONTH(W82,0)),5))</f>
        <v>315.66399999999999</v>
      </c>
      <c r="Z82" s="44">
        <f>IF(X82=0,0,ROUND((VLOOKUP(YEAR(EDATE(X82,-2)),CPI!$A:$M,MONTH(EDATE(X82,-2))+1,FALSE)*(DAY(X82)-1)+VLOOKUP(YEAR(EDATE(X82,-3)),CPI!$A:$M,MONTH(EDATE(X82,-3))+1,FALSE)*(DAY(EOMONTH(X82,0))-DAY(X82)+1))/DAY(EOMONTH(X82,0)),5))</f>
        <v>320.79500000000002</v>
      </c>
      <c r="AA82" s="44">
        <f>ROUND((VLOOKUP(YEAR(EDATE(F82,-2)),CPI!$A:$M,MONTH(EDATE(F82,-2))+1,FALSE)*(DAY(F82)-1)+VLOOKUP(YEAR(EDATE(F82,-3)),CPI!$A:$M,MONTH(EDATE(F82,-3))+1,FALSE)*(DAY(EOMONTH(F82,0))-DAY(F82)+1))/DAY(EOMONTH(F82,0)),5)</f>
        <v>269.05687</v>
      </c>
      <c r="AB82" s="45">
        <f>IF(G82&lt;D$1,E$1,IF(G82&gt;D$2,E$2,ROUND((VLOOKUP(YEAR(EDATE(G82,-2)),CPI!$A:$M,MONTH(EDATE(G82,-2))+1,FALSE)*(DAY(G82)-1)+VLOOKUP(YEAR(EDATE(G82,-3)),CPI!$A:$M,MONTH(EDATE(G82,-3))+1,FALSE)*(DAY(EOMONTH(G82,0))-DAY(G82)+1))/DAY(EOMONTH(G82,0)),5)))</f>
        <v>0</v>
      </c>
      <c r="AC82" s="60" t="str">
        <f t="shared" si="15"/>
        <v/>
      </c>
      <c r="AD82" s="46">
        <f t="shared" si="6"/>
        <v>19.140000000000157</v>
      </c>
      <c r="AE82" s="76">
        <f t="shared" si="102"/>
        <v>0</v>
      </c>
      <c r="AF82" s="71">
        <f t="shared" ref="AF82:AF83" si="186">IF(AND(F82&lt;=AH$2,AH$2&lt;=G82),ROUND(ROUND(AH$1/E82,5)*H82,2),0)</f>
        <v>1191.6300000000001</v>
      </c>
      <c r="AG82" s="71">
        <f t="shared" si="113"/>
        <v>0.49</v>
      </c>
      <c r="AH82" s="87">
        <f t="shared" ref="AH82:AH83" si="187">AF82+AG82</f>
        <v>1192.1200000000001</v>
      </c>
      <c r="AI82" s="115">
        <f t="shared" si="99"/>
        <v>90.34375</v>
      </c>
      <c r="AJ82" s="36">
        <f t="shared" si="104"/>
        <v>1076.563228125</v>
      </c>
      <c r="AK82" s="37">
        <f t="shared" si="105"/>
        <v>1077.053228125</v>
      </c>
      <c r="AN82" s="8">
        <v>44392</v>
      </c>
      <c r="AO82" s="4" t="b">
        <f t="shared" si="106"/>
        <v>1</v>
      </c>
    </row>
    <row r="83" spans="1:41" x14ac:dyDescent="0.3">
      <c r="A83" s="29">
        <v>0.125</v>
      </c>
      <c r="B83" s="7">
        <v>10</v>
      </c>
      <c r="C83" s="8">
        <v>48228</v>
      </c>
      <c r="D83" s="149">
        <f t="shared" si="100"/>
        <v>44576</v>
      </c>
      <c r="E83" s="150">
        <f>ROUND((VLOOKUP(YEAR(EDATE(D83,-2)),CPI!$A:$M,MONTH(EDATE(D83,-2))+1,FALSE)*(DAY(D83)-1)+VLOOKUP(YEAR(EDATE(D83,-3)),CPI!$A:$M,MONTH(EDATE(D83,-3))+1,FALSE)*(DAY(EOMONTH(D83,0))-DAY(D83)+1))/DAY(EOMONTH(D83,0)),5)</f>
        <v>277.20274000000001</v>
      </c>
      <c r="F83" s="30">
        <v>44592</v>
      </c>
      <c r="G83" s="31">
        <v>48228</v>
      </c>
      <c r="H83" s="32">
        <v>1000</v>
      </c>
      <c r="I83" s="33">
        <f t="shared" si="142"/>
        <v>0.625</v>
      </c>
      <c r="J83" s="33">
        <f t="shared" si="142"/>
        <v>0</v>
      </c>
      <c r="K83" s="33">
        <f t="shared" si="142"/>
        <v>0</v>
      </c>
      <c r="L83" s="29">
        <f t="shared" si="142"/>
        <v>0.625</v>
      </c>
      <c r="M83" s="33">
        <f t="shared" si="142"/>
        <v>0</v>
      </c>
      <c r="N83" s="34">
        <f t="shared" si="142"/>
        <v>0</v>
      </c>
      <c r="O83" s="34">
        <f t="shared" ref="O83" si="188">SUM(I83:N83)</f>
        <v>1.25</v>
      </c>
      <c r="P83" s="35">
        <f t="shared" si="180"/>
        <v>0.71</v>
      </c>
      <c r="Q83" s="36">
        <f t="shared" si="181"/>
        <v>0</v>
      </c>
      <c r="R83" s="37">
        <f t="shared" si="182"/>
        <v>0</v>
      </c>
      <c r="S83" s="35">
        <f t="shared" si="183"/>
        <v>0</v>
      </c>
      <c r="T83" s="36">
        <f t="shared" si="184"/>
        <v>0</v>
      </c>
      <c r="U83" s="37">
        <f t="shared" si="185"/>
        <v>0</v>
      </c>
      <c r="V83" s="36">
        <f t="shared" ref="V83" si="189">SUM(P83:U83)</f>
        <v>0.71</v>
      </c>
      <c r="W83" s="42">
        <f t="shared" ref="W83" si="190">IF(F83&lt;$X$1,MAX(F83,$W$1),0)</f>
        <v>45658</v>
      </c>
      <c r="X83" s="43">
        <f t="shared" ref="X83" si="191">IF(G83&gt;$W$1,MIN(G83,$X$1),0)</f>
        <v>45839</v>
      </c>
      <c r="Y83" s="44">
        <f>IF(W83=0,0,ROUND((VLOOKUP(YEAR(EDATE(W83,-2)),CPI!$A:$M,MONTH(EDATE(W83,-2))+1,FALSE)*(DAY(W83)-1)+VLOOKUP(YEAR(EDATE(W83,-3)),CPI!$A:$M,MONTH(EDATE(W83,-3))+1,FALSE)*(DAY(EOMONTH(W83,0))-DAY(W83)+1))/DAY(EOMONTH(W83,0)),5))</f>
        <v>315.66399999999999</v>
      </c>
      <c r="Z83" s="44">
        <f>IF(X83=0,0,ROUND((VLOOKUP(YEAR(EDATE(X83,-2)),CPI!$A:$M,MONTH(EDATE(X83,-2))+1,FALSE)*(DAY(X83)-1)+VLOOKUP(YEAR(EDATE(X83,-3)),CPI!$A:$M,MONTH(EDATE(X83,-3))+1,FALSE)*(DAY(EOMONTH(X83,0))-DAY(X83)+1))/DAY(EOMONTH(X83,0)),5))</f>
        <v>320.79500000000002</v>
      </c>
      <c r="AA83" s="44">
        <f>ROUND((VLOOKUP(YEAR(EDATE(F83,-2)),CPI!$A:$M,MONTH(EDATE(F83,-2))+1,FALSE)*(DAY(F83)-1)+VLOOKUP(YEAR(EDATE(F83,-3)),CPI!$A:$M,MONTH(EDATE(F83,-3))+1,FALSE)*(DAY(EOMONTH(F83,0))-DAY(F83)+1))/DAY(EOMONTH(F83,0)),5)</f>
        <v>277.90415999999999</v>
      </c>
      <c r="AB83" s="45">
        <f>IF(G83&lt;D$1,E$1,IF(G83&gt;D$2,E$2,ROUND((VLOOKUP(YEAR(EDATE(G83,-2)),CPI!$A:$M,MONTH(EDATE(G83,-2))+1,FALSE)*(DAY(G83)-1)+VLOOKUP(YEAR(EDATE(G83,-3)),CPI!$A:$M,MONTH(EDATE(G83,-3))+1,FALSE)*(DAY(EOMONTH(G83,0))-DAY(G83)+1))/DAY(EOMONTH(G83,0)),5)))</f>
        <v>0</v>
      </c>
      <c r="AC83" s="60" t="str">
        <f t="shared" si="15"/>
        <v/>
      </c>
      <c r="AD83" s="46">
        <f t="shared" si="6"/>
        <v>18.510000000000026</v>
      </c>
      <c r="AE83" s="76">
        <f t="shared" si="102"/>
        <v>0</v>
      </c>
      <c r="AF83" s="71">
        <f t="shared" si="186"/>
        <v>1152.1600000000001</v>
      </c>
      <c r="AG83" s="71">
        <f t="shared" si="113"/>
        <v>0.47</v>
      </c>
      <c r="AH83" s="87">
        <f t="shared" si="187"/>
        <v>1152.6300000000001</v>
      </c>
      <c r="AI83" s="115">
        <f t="shared" si="99"/>
        <v>88.875</v>
      </c>
      <c r="AJ83" s="36">
        <f t="shared" si="104"/>
        <v>1023.9822000000001</v>
      </c>
      <c r="AK83" s="37">
        <f t="shared" si="105"/>
        <v>1024.4522000000002</v>
      </c>
      <c r="AN83" s="8">
        <v>44576</v>
      </c>
      <c r="AO83" s="4" t="b">
        <f t="shared" si="106"/>
        <v>1</v>
      </c>
    </row>
    <row r="84" spans="1:41" x14ac:dyDescent="0.3">
      <c r="A84" s="29">
        <v>3.375</v>
      </c>
      <c r="B84" s="7">
        <v>30.5</v>
      </c>
      <c r="C84" s="8">
        <v>48319</v>
      </c>
      <c r="D84" s="149">
        <f t="shared" si="100"/>
        <v>37179</v>
      </c>
      <c r="E84" s="150">
        <f>ROUND((VLOOKUP(YEAR(EDATE(D84,-2)),CPI!$A:$M,MONTH(EDATE(D84,-2))+1,FALSE)*(DAY(D84)-1)+VLOOKUP(YEAR(EDATE(D84,-3)),CPI!$A:$M,MONTH(EDATE(D84,-3))+1,FALSE)*(DAY(EOMONTH(D84,0))-DAY(D84)+1))/DAY(EOMONTH(D84,0)),5)</f>
        <v>177.5</v>
      </c>
      <c r="F84" s="30">
        <v>37179</v>
      </c>
      <c r="G84" s="31">
        <v>48319</v>
      </c>
      <c r="H84" s="32">
        <v>1000</v>
      </c>
      <c r="I84" s="33">
        <f t="shared" si="34"/>
        <v>0</v>
      </c>
      <c r="J84" s="33">
        <f t="shared" si="34"/>
        <v>0</v>
      </c>
      <c r="K84" s="33">
        <f t="shared" si="34"/>
        <v>16.875</v>
      </c>
      <c r="L84" s="29">
        <f t="shared" si="34"/>
        <v>0</v>
      </c>
      <c r="M84" s="33">
        <f t="shared" si="34"/>
        <v>0</v>
      </c>
      <c r="N84" s="34">
        <f t="shared" si="34"/>
        <v>16.875</v>
      </c>
      <c r="O84" s="34">
        <f t="shared" si="23"/>
        <v>33.75</v>
      </c>
      <c r="P84" s="35">
        <f t="shared" si="24"/>
        <v>0</v>
      </c>
      <c r="Q84" s="36">
        <f t="shared" si="25"/>
        <v>0</v>
      </c>
      <c r="R84" s="37">
        <f t="shared" si="26"/>
        <v>30.26</v>
      </c>
      <c r="S84" s="35">
        <f t="shared" si="27"/>
        <v>0</v>
      </c>
      <c r="T84" s="36">
        <f t="shared" si="28"/>
        <v>0</v>
      </c>
      <c r="U84" s="37">
        <f t="shared" si="29"/>
        <v>0</v>
      </c>
      <c r="V84" s="36">
        <f t="shared" si="30"/>
        <v>30.26</v>
      </c>
      <c r="W84" s="42">
        <f t="shared" si="31"/>
        <v>45658</v>
      </c>
      <c r="X84" s="43">
        <f t="shared" si="32"/>
        <v>45839</v>
      </c>
      <c r="Y84" s="44">
        <f>IF(W84=0,0,ROUND((VLOOKUP(YEAR(EDATE(W84,-2)),CPI!$A:$M,MONTH(EDATE(W84,-2))+1,FALSE)*(DAY(W84)-1)+VLOOKUP(YEAR(EDATE(W84,-3)),CPI!$A:$M,MONTH(EDATE(W84,-3))+1,FALSE)*(DAY(EOMONTH(W84,0))-DAY(W84)+1))/DAY(EOMONTH(W84,0)),5))</f>
        <v>315.66399999999999</v>
      </c>
      <c r="Z84" s="44">
        <f>IF(X84=0,0,ROUND((VLOOKUP(YEAR(EDATE(X84,-2)),CPI!$A:$M,MONTH(EDATE(X84,-2))+1,FALSE)*(DAY(X84)-1)+VLOOKUP(YEAR(EDATE(X84,-3)),CPI!$A:$M,MONTH(EDATE(X84,-3))+1,FALSE)*(DAY(EOMONTH(X84,0))-DAY(X84)+1))/DAY(EOMONTH(X84,0)),5))</f>
        <v>320.79500000000002</v>
      </c>
      <c r="AA84" s="44">
        <f>ROUND((VLOOKUP(YEAR(EDATE(F84,-2)),CPI!$A:$M,MONTH(EDATE(F84,-2))+1,FALSE)*(DAY(F84)-1)+VLOOKUP(YEAR(EDATE(F84,-3)),CPI!$A:$M,MONTH(EDATE(F84,-3))+1,FALSE)*(DAY(EOMONTH(F84,0))-DAY(F84)+1))/DAY(EOMONTH(F84,0)),5)</f>
        <v>177.5</v>
      </c>
      <c r="AB84" s="45">
        <f>IF(G84&lt;D$1,E$1,IF(G84&gt;D$2,E$2,ROUND((VLOOKUP(YEAR(EDATE(G84,-2)),CPI!$A:$M,MONTH(EDATE(G84,-2))+1,FALSE)*(DAY(G84)-1)+VLOOKUP(YEAR(EDATE(G84,-3)),CPI!$A:$M,MONTH(EDATE(G84,-3))+1,FALSE)*(DAY(EOMONTH(G84,0))-DAY(G84)+1))/DAY(EOMONTH(G84,0)),5)))</f>
        <v>0</v>
      </c>
      <c r="AC84" s="60" t="str">
        <f t="shared" si="15"/>
        <v/>
      </c>
      <c r="AD84" s="46">
        <f t="shared" si="6"/>
        <v>28.909999999999989</v>
      </c>
      <c r="AE84" s="76">
        <f t="shared" si="102"/>
        <v>0</v>
      </c>
      <c r="AF84" s="71">
        <f t="shared" si="36"/>
        <v>1799.34</v>
      </c>
      <c r="AG84" s="71">
        <f t="shared" si="113"/>
        <v>4.8099999999999996</v>
      </c>
      <c r="AH84" s="87">
        <f t="shared" si="19"/>
        <v>1804.1499999999999</v>
      </c>
      <c r="AI84" s="115">
        <f t="shared" si="99"/>
        <v>109.6875</v>
      </c>
      <c r="AJ84" s="36">
        <f t="shared" si="104"/>
        <v>1973.6510625000001</v>
      </c>
      <c r="AK84" s="37">
        <f t="shared" si="105"/>
        <v>1978.4610625</v>
      </c>
      <c r="AN84" s="8">
        <v>37179</v>
      </c>
      <c r="AO84" s="4" t="b">
        <f t="shared" si="106"/>
        <v>1</v>
      </c>
    </row>
    <row r="85" spans="1:41" x14ac:dyDescent="0.3">
      <c r="A85" s="29">
        <v>0.625</v>
      </c>
      <c r="B85" s="7">
        <v>10</v>
      </c>
      <c r="C85" s="8">
        <v>48410</v>
      </c>
      <c r="D85" s="149">
        <f t="shared" si="100"/>
        <v>44757</v>
      </c>
      <c r="E85" s="150">
        <f>ROUND((VLOOKUP(YEAR(EDATE(D85,-2)),CPI!$A:$M,MONTH(EDATE(D85,-2))+1,FALSE)*(DAY(D85)-1)+VLOOKUP(YEAR(EDATE(D85,-3)),CPI!$A:$M,MONTH(EDATE(D85,-3))+1,FALSE)*(DAY(EOMONTH(D85,0))-DAY(D85)+1))/DAY(EOMONTH(D85,0)),5)</f>
        <v>290.54829000000001</v>
      </c>
      <c r="F85" s="30">
        <v>44771</v>
      </c>
      <c r="G85" s="31">
        <v>48410</v>
      </c>
      <c r="H85" s="32">
        <v>1000</v>
      </c>
      <c r="I85" s="33">
        <f t="shared" ref="I85:N90" si="192">IF(AND($F85&lt;I$3,I$3&lt;=$G85,MOD(MONTH($C85),6)=MOD(MONTH(I$3),6)),$H85*($A85/200),0)</f>
        <v>3.125</v>
      </c>
      <c r="J85" s="33">
        <f t="shared" si="192"/>
        <v>0</v>
      </c>
      <c r="K85" s="33">
        <f t="shared" si="192"/>
        <v>0</v>
      </c>
      <c r="L85" s="29">
        <f t="shared" si="192"/>
        <v>3.125</v>
      </c>
      <c r="M85" s="33">
        <f t="shared" si="192"/>
        <v>0</v>
      </c>
      <c r="N85" s="34">
        <f t="shared" si="192"/>
        <v>0</v>
      </c>
      <c r="O85" s="34">
        <f t="shared" ref="O85" si="193">SUM(I85:N85)</f>
        <v>6.25</v>
      </c>
      <c r="P85" s="35">
        <f t="shared" ref="P85" si="194">ROUND(ROUND(P$1/$E85,5)*I85,2)</f>
        <v>3.39</v>
      </c>
      <c r="Q85" s="36">
        <f t="shared" ref="Q85" si="195">ROUND(ROUND(Q$1/$E85,5)*J85,2)</f>
        <v>0</v>
      </c>
      <c r="R85" s="37">
        <f t="shared" ref="R85" si="196">ROUND(ROUND(R$1/$E85,5)*K85,2)</f>
        <v>0</v>
      </c>
      <c r="S85" s="35">
        <f t="shared" ref="S85" si="197">ROUND(ROUND(S$1/$E85,5)*L85,2)</f>
        <v>0</v>
      </c>
      <c r="T85" s="36">
        <f t="shared" ref="T85" si="198">ROUND(ROUND(T$1/$E85,5)*M85,2)</f>
        <v>0</v>
      </c>
      <c r="U85" s="37">
        <f t="shared" ref="U85" si="199">ROUND(ROUND(U$1/$E85,5)*N85,2)</f>
        <v>0</v>
      </c>
      <c r="V85" s="36">
        <f t="shared" ref="V85" si="200">SUM(P85:U85)</f>
        <v>3.39</v>
      </c>
      <c r="W85" s="42">
        <f t="shared" ref="W85" si="201">IF(F85&lt;$X$1,MAX(F85,$W$1),0)</f>
        <v>45658</v>
      </c>
      <c r="X85" s="43">
        <f t="shared" ref="X85" si="202">IF(G85&gt;$W$1,MIN(G85,$X$1),0)</f>
        <v>45839</v>
      </c>
      <c r="Y85" s="44">
        <f>IF(W85=0,0,ROUND((VLOOKUP(YEAR(EDATE(W85,-2)),CPI!$A:$M,MONTH(EDATE(W85,-2))+1,FALSE)*(DAY(W85)-1)+VLOOKUP(YEAR(EDATE(W85,-3)),CPI!$A:$M,MONTH(EDATE(W85,-3))+1,FALSE)*(DAY(EOMONTH(W85,0))-DAY(W85)+1))/DAY(EOMONTH(W85,0)),5))</f>
        <v>315.66399999999999</v>
      </c>
      <c r="Z85" s="44">
        <f>IF(X85=0,0,ROUND((VLOOKUP(YEAR(EDATE(X85,-2)),CPI!$A:$M,MONTH(EDATE(X85,-2))+1,FALSE)*(DAY(X85)-1)+VLOOKUP(YEAR(EDATE(X85,-3)),CPI!$A:$M,MONTH(EDATE(X85,-3))+1,FALSE)*(DAY(EOMONTH(X85,0))-DAY(X85)+1))/DAY(EOMONTH(X85,0)),5))</f>
        <v>320.79500000000002</v>
      </c>
      <c r="AA85" s="44">
        <f>ROUND((VLOOKUP(YEAR(EDATE(F85,-2)),CPI!$A:$M,MONTH(EDATE(F85,-2))+1,FALSE)*(DAY(F85)-1)+VLOOKUP(YEAR(EDATE(F85,-3)),CPI!$A:$M,MONTH(EDATE(F85,-3))+1,FALSE)*(DAY(EOMONTH(F85,0))-DAY(F85)+1))/DAY(EOMONTH(F85,0)),5)</f>
        <v>291.98757999999998</v>
      </c>
      <c r="AB85" s="45">
        <f>IF(G85&lt;D$1,E$1,IF(G85&gt;D$2,E$2,ROUND((VLOOKUP(YEAR(EDATE(G85,-2)),CPI!$A:$M,MONTH(EDATE(G85,-2))+1,FALSE)*(DAY(G85)-1)+VLOOKUP(YEAR(EDATE(G85,-3)),CPI!$A:$M,MONTH(EDATE(G85,-3))+1,FALSE)*(DAY(EOMONTH(G85,0))-DAY(G85)+1))/DAY(EOMONTH(G85,0)),5)))</f>
        <v>0</v>
      </c>
      <c r="AC85" s="60" t="str">
        <f t="shared" si="15"/>
        <v/>
      </c>
      <c r="AD85" s="46">
        <f t="shared" si="6"/>
        <v>17.660000000000011</v>
      </c>
      <c r="AE85" s="76">
        <f t="shared" si="102"/>
        <v>0</v>
      </c>
      <c r="AF85" s="71">
        <f t="shared" ref="AF85" si="203">IF(AND(F85&lt;=AH$2,AH$2&lt;=G85),ROUND(ROUND(AH$1/E85,5)*H85,2),0)</f>
        <v>1099.24</v>
      </c>
      <c r="AG85" s="71">
        <f t="shared" si="113"/>
        <v>2.2599999999999998</v>
      </c>
      <c r="AH85" s="87">
        <f t="shared" ref="AH85" si="204">AF85+AG85</f>
        <v>1101.5</v>
      </c>
      <c r="AI85" s="115">
        <f t="shared" si="99"/>
        <v>91.468750000000014</v>
      </c>
      <c r="AJ85" s="36">
        <f t="shared" si="104"/>
        <v>1005.4610875000001</v>
      </c>
      <c r="AK85" s="37">
        <f t="shared" si="105"/>
        <v>1007.7210875000001</v>
      </c>
      <c r="AN85" s="8">
        <v>44757</v>
      </c>
      <c r="AO85" s="4" t="b">
        <f t="shared" si="106"/>
        <v>1</v>
      </c>
    </row>
    <row r="86" spans="1:41" x14ac:dyDescent="0.3">
      <c r="A86" s="29">
        <v>1.125</v>
      </c>
      <c r="B86" s="7">
        <v>10</v>
      </c>
      <c r="C86" s="8">
        <v>48594</v>
      </c>
      <c r="D86" s="149">
        <f t="shared" si="100"/>
        <v>44941</v>
      </c>
      <c r="E86" s="150">
        <f>ROUND((VLOOKUP(YEAR(EDATE(D86,-2)),CPI!$A:$M,MONTH(EDATE(D86,-2))+1,FALSE)*(DAY(D86)-1)+VLOOKUP(YEAR(EDATE(D86,-3)),CPI!$A:$M,MONTH(EDATE(D86,-3))+1,FALSE)*(DAY(EOMONTH(D86,0))-DAY(D86)+1))/DAY(EOMONTH(D86,0)),5)</f>
        <v>297.87606</v>
      </c>
      <c r="F86" s="30">
        <v>44957</v>
      </c>
      <c r="G86" s="31">
        <v>48594</v>
      </c>
      <c r="H86" s="32">
        <v>1000</v>
      </c>
      <c r="I86" s="33">
        <f t="shared" si="192"/>
        <v>5.625</v>
      </c>
      <c r="J86" s="33">
        <f t="shared" si="192"/>
        <v>0</v>
      </c>
      <c r="K86" s="33">
        <f t="shared" si="192"/>
        <v>0</v>
      </c>
      <c r="L86" s="29">
        <f t="shared" si="192"/>
        <v>5.625</v>
      </c>
      <c r="M86" s="33">
        <f t="shared" si="192"/>
        <v>0</v>
      </c>
      <c r="N86" s="34">
        <f t="shared" si="192"/>
        <v>0</v>
      </c>
      <c r="O86" s="34">
        <f t="shared" ref="O86:O87" si="205">SUM(I86:N86)</f>
        <v>11.25</v>
      </c>
      <c r="P86" s="35">
        <f t="shared" ref="P86:P87" si="206">ROUND(ROUND(P$1/$E86,5)*I86,2)</f>
        <v>5.96</v>
      </c>
      <c r="Q86" s="36">
        <f t="shared" ref="Q86:Q87" si="207">ROUND(ROUND(Q$1/$E86,5)*J86,2)</f>
        <v>0</v>
      </c>
      <c r="R86" s="37">
        <f t="shared" ref="R86:R87" si="208">ROUND(ROUND(R$1/$E86,5)*K86,2)</f>
        <v>0</v>
      </c>
      <c r="S86" s="35">
        <f t="shared" ref="S86:S87" si="209">ROUND(ROUND(S$1/$E86,5)*L86,2)</f>
        <v>0</v>
      </c>
      <c r="T86" s="36">
        <f t="shared" ref="T86:T87" si="210">ROUND(ROUND(T$1/$E86,5)*M86,2)</f>
        <v>0</v>
      </c>
      <c r="U86" s="37">
        <f t="shared" ref="U86:U87" si="211">ROUND(ROUND(U$1/$E86,5)*N86,2)</f>
        <v>0</v>
      </c>
      <c r="V86" s="36">
        <f t="shared" ref="V86:V87" si="212">SUM(P86:U86)</f>
        <v>5.96</v>
      </c>
      <c r="W86" s="42">
        <f t="shared" ref="W86:W87" si="213">IF(F86&lt;$X$1,MAX(F86,$W$1),0)</f>
        <v>45658</v>
      </c>
      <c r="X86" s="43">
        <f t="shared" ref="X86:X87" si="214">IF(G86&gt;$W$1,MIN(G86,$X$1),0)</f>
        <v>45839</v>
      </c>
      <c r="Y86" s="44">
        <f>IF(W86=0,0,ROUND((VLOOKUP(YEAR(EDATE(W86,-2)),CPI!$A:$M,MONTH(EDATE(W86,-2))+1,FALSE)*(DAY(W86)-1)+VLOOKUP(YEAR(EDATE(W86,-3)),CPI!$A:$M,MONTH(EDATE(W86,-3))+1,FALSE)*(DAY(EOMONTH(W86,0))-DAY(W86)+1))/DAY(EOMONTH(W86,0)),5))</f>
        <v>315.66399999999999</v>
      </c>
      <c r="Z86" s="44">
        <f>IF(X86=0,0,ROUND((VLOOKUP(YEAR(EDATE(X86,-2)),CPI!$A:$M,MONTH(EDATE(X86,-2))+1,FALSE)*(DAY(X86)-1)+VLOOKUP(YEAR(EDATE(X86,-3)),CPI!$A:$M,MONTH(EDATE(X86,-3))+1,FALSE)*(DAY(EOMONTH(X86,0))-DAY(X86)+1))/DAY(EOMONTH(X86,0)),5))</f>
        <v>320.79500000000002</v>
      </c>
      <c r="AA86" s="44">
        <f>ROUND((VLOOKUP(YEAR(EDATE(F86,-2)),CPI!$A:$M,MONTH(EDATE(F86,-2))+1,FALSE)*(DAY(F86)-1)+VLOOKUP(YEAR(EDATE(F86,-3)),CPI!$A:$M,MONTH(EDATE(F86,-3))+1,FALSE)*(DAY(EOMONTH(F86,0))-DAY(F86)+1))/DAY(EOMONTH(F86,0)),5)</f>
        <v>297.72071</v>
      </c>
      <c r="AB86" s="45">
        <f>IF(G86&lt;D$1,E$1,IF(G86&gt;D$2,E$2,ROUND((VLOOKUP(YEAR(EDATE(G86,-2)),CPI!$A:$M,MONTH(EDATE(G86,-2))+1,FALSE)*(DAY(G86)-1)+VLOOKUP(YEAR(EDATE(G86,-3)),CPI!$A:$M,MONTH(EDATE(G86,-3))+1,FALSE)*(DAY(EOMONTH(G86,0))-DAY(G86)+1))/DAY(EOMONTH(G86,0)),5)))</f>
        <v>0</v>
      </c>
      <c r="AC86" s="60" t="str">
        <f t="shared" si="15"/>
        <v/>
      </c>
      <c r="AD86" s="46">
        <f t="shared" si="6"/>
        <v>17.220000000000013</v>
      </c>
      <c r="AE86" s="76">
        <f t="shared" si="102"/>
        <v>0</v>
      </c>
      <c r="AF86" s="71">
        <f t="shared" ref="AF86:AF87" si="215">IF(AND(F86&lt;=AH$2,AH$2&lt;=G86),ROUND(ROUND(AH$1/E86,5)*H86,2),0)</f>
        <v>1072.2</v>
      </c>
      <c r="AG86" s="71">
        <f t="shared" ref="AG86:AG87" si="216">IF(AND(F86&lt;=AH$2,AH$2&lt;C86),ROUND(AF86*(A86/200)*COUPDAYBS(AH$2,C86,2,1)/COUPDAYS(AH$2,C86,2,1),2),0)</f>
        <v>3.97</v>
      </c>
      <c r="AH86" s="87">
        <f t="shared" ref="AH86:AH87" si="217">AF86+AG86</f>
        <v>1076.17</v>
      </c>
      <c r="AI86" s="115">
        <f t="shared" si="99"/>
        <v>93.749999999999986</v>
      </c>
      <c r="AJ86" s="36">
        <f t="shared" si="104"/>
        <v>1005.1874999999999</v>
      </c>
      <c r="AK86" s="37">
        <f t="shared" si="105"/>
        <v>1009.1574999999999</v>
      </c>
      <c r="AN86" s="8">
        <v>44941</v>
      </c>
      <c r="AO86" s="4" t="b">
        <f t="shared" si="106"/>
        <v>1</v>
      </c>
    </row>
    <row r="87" spans="1:41" x14ac:dyDescent="0.3">
      <c r="A87" s="29">
        <v>1.375</v>
      </c>
      <c r="B87" s="7">
        <v>10</v>
      </c>
      <c r="C87" s="8">
        <v>48775</v>
      </c>
      <c r="D87" s="149">
        <f t="shared" si="100"/>
        <v>45122</v>
      </c>
      <c r="E87" s="150">
        <f>ROUND((VLOOKUP(YEAR(EDATE(D87,-2)),CPI!$A:$M,MONTH(EDATE(D87,-2))+1,FALSE)*(DAY(D87)-1)+VLOOKUP(YEAR(EDATE(D87,-3)),CPI!$A:$M,MONTH(EDATE(D87,-3))+1,FALSE)*(DAY(EOMONTH(D87,0))-DAY(D87)+1))/DAY(EOMONTH(D87,0)),5)</f>
        <v>303.70803000000001</v>
      </c>
      <c r="F87" s="30">
        <v>45138</v>
      </c>
      <c r="G87" s="31">
        <v>48775</v>
      </c>
      <c r="H87" s="32">
        <v>1000</v>
      </c>
      <c r="I87" s="33">
        <f t="shared" si="192"/>
        <v>6.875</v>
      </c>
      <c r="J87" s="33">
        <f t="shared" si="192"/>
        <v>0</v>
      </c>
      <c r="K87" s="33">
        <f t="shared" si="192"/>
        <v>0</v>
      </c>
      <c r="L87" s="29">
        <f t="shared" si="192"/>
        <v>6.875</v>
      </c>
      <c r="M87" s="33">
        <f t="shared" si="192"/>
        <v>0</v>
      </c>
      <c r="N87" s="34">
        <f t="shared" si="192"/>
        <v>0</v>
      </c>
      <c r="O87" s="34">
        <f t="shared" si="205"/>
        <v>13.75</v>
      </c>
      <c r="P87" s="35">
        <f t="shared" si="206"/>
        <v>7.14</v>
      </c>
      <c r="Q87" s="36">
        <f t="shared" si="207"/>
        <v>0</v>
      </c>
      <c r="R87" s="37">
        <f t="shared" si="208"/>
        <v>0</v>
      </c>
      <c r="S87" s="35">
        <f t="shared" si="209"/>
        <v>0</v>
      </c>
      <c r="T87" s="36">
        <f t="shared" si="210"/>
        <v>0</v>
      </c>
      <c r="U87" s="37">
        <f t="shared" si="211"/>
        <v>0</v>
      </c>
      <c r="V87" s="36">
        <f t="shared" si="212"/>
        <v>7.14</v>
      </c>
      <c r="W87" s="42">
        <f t="shared" si="213"/>
        <v>45658</v>
      </c>
      <c r="X87" s="43">
        <f t="shared" si="214"/>
        <v>45839</v>
      </c>
      <c r="Y87" s="44">
        <f>IF(W87=0,0,ROUND((VLOOKUP(YEAR(EDATE(W87,-2)),CPI!$A:$M,MONTH(EDATE(W87,-2))+1,FALSE)*(DAY(W87)-1)+VLOOKUP(YEAR(EDATE(W87,-3)),CPI!$A:$M,MONTH(EDATE(W87,-3))+1,FALSE)*(DAY(EOMONTH(W87,0))-DAY(W87)+1))/DAY(EOMONTH(W87,0)),5))</f>
        <v>315.66399999999999</v>
      </c>
      <c r="Z87" s="44">
        <f>IF(X87=0,0,ROUND((VLOOKUP(YEAR(EDATE(X87,-2)),CPI!$A:$M,MONTH(EDATE(X87,-2))+1,FALSE)*(DAY(X87)-1)+VLOOKUP(YEAR(EDATE(X87,-3)),CPI!$A:$M,MONTH(EDATE(X87,-3))+1,FALSE)*(DAY(EOMONTH(X87,0))-DAY(X87)+1))/DAY(EOMONTH(X87,0)),5))</f>
        <v>320.79500000000002</v>
      </c>
      <c r="AA87" s="44">
        <f>ROUND((VLOOKUP(YEAR(EDATE(F87,-2)),CPI!$A:$M,MONTH(EDATE(F87,-2))+1,FALSE)*(DAY(F87)-1)+VLOOKUP(YEAR(EDATE(F87,-3)),CPI!$A:$M,MONTH(EDATE(F87,-3))+1,FALSE)*(DAY(EOMONTH(F87,0))-DAY(F87)+1))/DAY(EOMONTH(F87,0)),5)</f>
        <v>304.10235</v>
      </c>
      <c r="AB87" s="45">
        <f>IF(G87&lt;D$1,E$1,IF(G87&gt;D$2,E$2,ROUND((VLOOKUP(YEAR(EDATE(G87,-2)),CPI!$A:$M,MONTH(EDATE(G87,-2))+1,FALSE)*(DAY(G87)-1)+VLOOKUP(YEAR(EDATE(G87,-3)),CPI!$A:$M,MONTH(EDATE(G87,-3))+1,FALSE)*(DAY(EOMONTH(G87,0))-DAY(G87)+1))/DAY(EOMONTH(G87,0)),5)))</f>
        <v>0</v>
      </c>
      <c r="AC87" s="60" t="str">
        <f t="shared" si="15"/>
        <v/>
      </c>
      <c r="AD87" s="46">
        <f t="shared" si="6"/>
        <v>16.890000000000072</v>
      </c>
      <c r="AE87" s="76">
        <f t="shared" si="102"/>
        <v>0</v>
      </c>
      <c r="AF87" s="71">
        <f t="shared" si="215"/>
        <v>1051.6099999999999</v>
      </c>
      <c r="AG87" s="71">
        <f t="shared" si="216"/>
        <v>4.75</v>
      </c>
      <c r="AH87" s="87">
        <f t="shared" si="217"/>
        <v>1056.3599999999999</v>
      </c>
      <c r="AI87" s="115">
        <f t="shared" si="99"/>
        <v>95.281250000000014</v>
      </c>
      <c r="AJ87" s="36">
        <f t="shared" si="104"/>
        <v>1001.9871531250001</v>
      </c>
      <c r="AK87" s="37">
        <f t="shared" si="105"/>
        <v>1006.7371531250001</v>
      </c>
      <c r="AN87" s="8">
        <v>45122</v>
      </c>
      <c r="AO87" s="4" t="b">
        <f t="shared" si="106"/>
        <v>1</v>
      </c>
    </row>
    <row r="88" spans="1:41" x14ac:dyDescent="0.3">
      <c r="A88" s="29">
        <v>1.75</v>
      </c>
      <c r="B88" s="7">
        <v>10</v>
      </c>
      <c r="C88" s="8">
        <v>48959</v>
      </c>
      <c r="D88" s="149">
        <f t="shared" si="100"/>
        <v>45306</v>
      </c>
      <c r="E88" s="150">
        <f>ROUND((VLOOKUP(YEAR(EDATE(D88,-2)),CPI!$A:$M,MONTH(EDATE(D88,-2))+1,FALSE)*(DAY(D88)-1)+VLOOKUP(YEAR(EDATE(D88,-3)),CPI!$A:$M,MONTH(EDATE(D88,-3))+1,FALSE)*(DAY(EOMONTH(D88,0))-DAY(D88)+1))/DAY(EOMONTH(D88,0)),5)</f>
        <v>307.39100000000002</v>
      </c>
      <c r="F88" s="30">
        <v>45322</v>
      </c>
      <c r="G88" s="31">
        <v>48959</v>
      </c>
      <c r="H88" s="32">
        <v>1000</v>
      </c>
      <c r="I88" s="33">
        <f t="shared" si="192"/>
        <v>8.75</v>
      </c>
      <c r="J88" s="33">
        <f t="shared" si="192"/>
        <v>0</v>
      </c>
      <c r="K88" s="33">
        <f t="shared" si="192"/>
        <v>0</v>
      </c>
      <c r="L88" s="29">
        <f t="shared" si="192"/>
        <v>8.75</v>
      </c>
      <c r="M88" s="33">
        <f t="shared" si="192"/>
        <v>0</v>
      </c>
      <c r="N88" s="34">
        <f t="shared" si="192"/>
        <v>0</v>
      </c>
      <c r="O88" s="34">
        <f t="shared" ref="O88:O89" si="218">SUM(I88:N88)</f>
        <v>17.5</v>
      </c>
      <c r="P88" s="35">
        <f t="shared" ref="P88:P89" si="219">ROUND(ROUND(P$1/$E88,5)*I88,2)</f>
        <v>8.98</v>
      </c>
      <c r="Q88" s="36">
        <f t="shared" ref="Q88:Q89" si="220">ROUND(ROUND(Q$1/$E88,5)*J88,2)</f>
        <v>0</v>
      </c>
      <c r="R88" s="37">
        <f t="shared" ref="R88:R89" si="221">ROUND(ROUND(R$1/$E88,5)*K88,2)</f>
        <v>0</v>
      </c>
      <c r="S88" s="35">
        <f t="shared" ref="S88:S89" si="222">ROUND(ROUND(S$1/$E88,5)*L88,2)</f>
        <v>0</v>
      </c>
      <c r="T88" s="36">
        <f t="shared" ref="T88:T89" si="223">ROUND(ROUND(T$1/$E88,5)*M88,2)</f>
        <v>0</v>
      </c>
      <c r="U88" s="37">
        <f t="shared" ref="U88:U89" si="224">ROUND(ROUND(U$1/$E88,5)*N88,2)</f>
        <v>0</v>
      </c>
      <c r="V88" s="36">
        <f t="shared" ref="V88:V89" si="225">SUM(P88:U88)</f>
        <v>8.98</v>
      </c>
      <c r="W88" s="42">
        <f t="shared" ref="W88:W89" si="226">IF(F88&lt;$X$1,MAX(F88,$W$1),0)</f>
        <v>45658</v>
      </c>
      <c r="X88" s="43">
        <f t="shared" ref="X88:X89" si="227">IF(G88&gt;$W$1,MIN(G88,$X$1),0)</f>
        <v>45839</v>
      </c>
      <c r="Y88" s="44">
        <f>IF(W88=0,0,ROUND((VLOOKUP(YEAR(EDATE(W88,-2)),CPI!$A:$M,MONTH(EDATE(W88,-2))+1,FALSE)*(DAY(W88)-1)+VLOOKUP(YEAR(EDATE(W88,-3)),CPI!$A:$M,MONTH(EDATE(W88,-3))+1,FALSE)*(DAY(EOMONTH(W88,0))-DAY(W88)+1))/DAY(EOMONTH(W88,0)),5))</f>
        <v>315.66399999999999</v>
      </c>
      <c r="Z88" s="44">
        <f>IF(X88=0,0,ROUND((VLOOKUP(YEAR(EDATE(X88,-2)),CPI!$A:$M,MONTH(EDATE(X88,-2))+1,FALSE)*(DAY(X88)-1)+VLOOKUP(YEAR(EDATE(X88,-3)),CPI!$A:$M,MONTH(EDATE(X88,-3))+1,FALSE)*(DAY(EOMONTH(X88,0))-DAY(X88)+1))/DAY(EOMONTH(X88,0)),5))</f>
        <v>320.79500000000002</v>
      </c>
      <c r="AA88" s="44">
        <f>ROUND((VLOOKUP(YEAR(EDATE(F88,-2)),CPI!$A:$M,MONTH(EDATE(F88,-2))+1,FALSE)*(DAY(F88)-1)+VLOOKUP(YEAR(EDATE(F88,-3)),CPI!$A:$M,MONTH(EDATE(F88,-3))+1,FALSE)*(DAY(EOMONTH(F88,0))-DAY(F88)+1))/DAY(EOMONTH(F88,0)),5)</f>
        <v>307.07100000000003</v>
      </c>
      <c r="AB88" s="45">
        <f>IF(G88&lt;D$1,E$1,IF(G88&gt;D$2,E$2,ROUND((VLOOKUP(YEAR(EDATE(G88,-2)),CPI!$A:$M,MONTH(EDATE(G88,-2))+1,FALSE)*(DAY(G88)-1)+VLOOKUP(YEAR(EDATE(G88,-3)),CPI!$A:$M,MONTH(EDATE(G88,-3))+1,FALSE)*(DAY(EOMONTH(G88,0))-DAY(G88)+1))/DAY(EOMONTH(G88,0)),5)))</f>
        <v>0</v>
      </c>
      <c r="AC88" s="60" t="str">
        <f t="shared" si="15"/>
        <v/>
      </c>
      <c r="AD88" s="46">
        <f t="shared" si="6"/>
        <v>16.699999999999939</v>
      </c>
      <c r="AE88" s="76">
        <f t="shared" si="102"/>
        <v>0</v>
      </c>
      <c r="AF88" s="71">
        <f t="shared" ref="AF88:AF89" si="228">IF(AND(F88&lt;=AH$2,AH$2&lt;=G88),ROUND(ROUND(AH$1/E88,5)*H88,2),0)</f>
        <v>1039.01</v>
      </c>
      <c r="AG88" s="71">
        <f t="shared" ref="AG88:AG89" si="229">IF(AND(F88&lt;=AH$2,AH$2&lt;C88),ROUND(AF88*(A88/200)*COUPDAYBS(AH$2,C88,2,1)/COUPDAYS(AH$2,C88,2,1),2),0)</f>
        <v>5.98</v>
      </c>
      <c r="AH88" s="87">
        <f t="shared" ref="AH88:AH89" si="230">AF88+AG88</f>
        <v>1044.99</v>
      </c>
      <c r="AI88" s="115">
        <f>IF(AND(F88&lt;=AH$2,AH$2&lt;=G88),VLOOKUP(TEXT(C88,"yyyy-mmdd")&amp;"-"&amp;TEXT(A88,"0.000"),wsj_quotes,10,FALSE),0)</f>
        <v>97.312499999999986</v>
      </c>
      <c r="AJ88" s="36">
        <f t="shared" ref="AJ88:AJ89" si="231">AF88*(AI88/100)</f>
        <v>1011.0866062499999</v>
      </c>
      <c r="AK88" s="37">
        <f t="shared" ref="AK88:AK89" si="232">AJ88+AG88</f>
        <v>1017.0666062499999</v>
      </c>
      <c r="AN88" s="8">
        <v>45306</v>
      </c>
      <c r="AO88" s="4" t="b">
        <f t="shared" si="106"/>
        <v>1</v>
      </c>
    </row>
    <row r="89" spans="1:41" x14ac:dyDescent="0.3">
      <c r="A89" s="29">
        <v>1.875</v>
      </c>
      <c r="B89" s="7">
        <v>10</v>
      </c>
      <c r="C89" s="8">
        <v>49140</v>
      </c>
      <c r="D89" s="149">
        <f t="shared" si="100"/>
        <v>45488</v>
      </c>
      <c r="E89" s="150">
        <f>ROUND((VLOOKUP(YEAR(EDATE(D89,-2)),CPI!$A:$M,MONTH(EDATE(D89,-2))+1,FALSE)*(DAY(D89)-1)+VLOOKUP(YEAR(EDATE(D89,-3)),CPI!$A:$M,MONTH(EDATE(D89,-3))+1,FALSE)*(DAY(EOMONTH(D89,0))-DAY(D89)+1))/DAY(EOMONTH(D89,0)),5)</f>
        <v>313.78329000000002</v>
      </c>
      <c r="F89" s="30">
        <v>45504</v>
      </c>
      <c r="G89" s="31">
        <v>49140</v>
      </c>
      <c r="H89" s="32">
        <v>1000</v>
      </c>
      <c r="I89" s="33">
        <f t="shared" si="192"/>
        <v>9.375</v>
      </c>
      <c r="J89" s="33">
        <f t="shared" si="192"/>
        <v>0</v>
      </c>
      <c r="K89" s="33">
        <f t="shared" si="192"/>
        <v>0</v>
      </c>
      <c r="L89" s="29">
        <f t="shared" si="192"/>
        <v>9.375</v>
      </c>
      <c r="M89" s="33">
        <f t="shared" si="192"/>
        <v>0</v>
      </c>
      <c r="N89" s="34">
        <f t="shared" si="192"/>
        <v>0</v>
      </c>
      <c r="O89" s="34">
        <f t="shared" si="218"/>
        <v>18.75</v>
      </c>
      <c r="P89" s="35">
        <f t="shared" si="219"/>
        <v>9.43</v>
      </c>
      <c r="Q89" s="36">
        <f t="shared" si="220"/>
        <v>0</v>
      </c>
      <c r="R89" s="37">
        <f t="shared" si="221"/>
        <v>0</v>
      </c>
      <c r="S89" s="35">
        <f t="shared" si="222"/>
        <v>0</v>
      </c>
      <c r="T89" s="36">
        <f t="shared" si="223"/>
        <v>0</v>
      </c>
      <c r="U89" s="37">
        <f t="shared" si="224"/>
        <v>0</v>
      </c>
      <c r="V89" s="36">
        <f t="shared" si="225"/>
        <v>9.43</v>
      </c>
      <c r="W89" s="42">
        <f t="shared" si="226"/>
        <v>45658</v>
      </c>
      <c r="X89" s="43">
        <f t="shared" si="227"/>
        <v>45839</v>
      </c>
      <c r="Y89" s="44">
        <f>IF(W89=0,0,ROUND((VLOOKUP(YEAR(EDATE(W89,-2)),CPI!$A:$M,MONTH(EDATE(W89,-2))+1,FALSE)*(DAY(W89)-1)+VLOOKUP(YEAR(EDATE(W89,-3)),CPI!$A:$M,MONTH(EDATE(W89,-3))+1,FALSE)*(DAY(EOMONTH(W89,0))-DAY(W89)+1))/DAY(EOMONTH(W89,0)),5))</f>
        <v>315.66399999999999</v>
      </c>
      <c r="Z89" s="44">
        <f>IF(X89=0,0,ROUND((VLOOKUP(YEAR(EDATE(X89,-2)),CPI!$A:$M,MONTH(EDATE(X89,-2))+1,FALSE)*(DAY(X89)-1)+VLOOKUP(YEAR(EDATE(X89,-3)),CPI!$A:$M,MONTH(EDATE(X89,-3))+1,FALSE)*(DAY(EOMONTH(X89,0))-DAY(X89)+1))/DAY(EOMONTH(X89,0)),5))</f>
        <v>320.79500000000002</v>
      </c>
      <c r="AA89" s="44">
        <f>ROUND((VLOOKUP(YEAR(EDATE(F89,-2)),CPI!$A:$M,MONTH(EDATE(F89,-2))+1,FALSE)*(DAY(F89)-1)+VLOOKUP(YEAR(EDATE(F89,-3)),CPI!$A:$M,MONTH(EDATE(F89,-3))+1,FALSE)*(DAY(EOMONTH(F89,0))-DAY(F89)+1))/DAY(EOMONTH(F89,0)),5)</f>
        <v>314.05219</v>
      </c>
      <c r="AB89" s="45">
        <f>IF(G89&lt;D$1,E$1,IF(G89&gt;D$2,E$2,ROUND((VLOOKUP(YEAR(EDATE(G89,-2)),CPI!$A:$M,MONTH(EDATE(G89,-2))+1,FALSE)*(DAY(G89)-1)+VLOOKUP(YEAR(EDATE(G89,-3)),CPI!$A:$M,MONTH(EDATE(G89,-3))+1,FALSE)*(DAY(EOMONTH(G89,0))-DAY(G89)+1))/DAY(EOMONTH(G89,0)),5)))</f>
        <v>0</v>
      </c>
      <c r="AC89" s="60" t="str">
        <f t="shared" si="15"/>
        <v/>
      </c>
      <c r="AD89" s="46">
        <f t="shared" si="6"/>
        <v>16.360000000000152</v>
      </c>
      <c r="AE89" s="76">
        <f t="shared" si="102"/>
        <v>0</v>
      </c>
      <c r="AF89" s="71">
        <f t="shared" si="228"/>
        <v>1017.84</v>
      </c>
      <c r="AG89" s="71">
        <f t="shared" si="229"/>
        <v>6.27</v>
      </c>
      <c r="AH89" s="87">
        <f t="shared" si="230"/>
        <v>1024.1100000000001</v>
      </c>
      <c r="AI89" s="115">
        <f t="shared" ref="AI89" si="233">IF(AND(F89&lt;=AH$2,AH$2&lt;=G89),VLOOKUP(TEXT(C89,"yyyy-mmdd")&amp;"-"&amp;TEXT(A89,"0.000"),wsj_quotes,10,FALSE),0)</f>
        <v>98.281250000000014</v>
      </c>
      <c r="AJ89" s="36">
        <f t="shared" si="231"/>
        <v>1000.3458750000001</v>
      </c>
      <c r="AK89" s="37">
        <f t="shared" si="232"/>
        <v>1006.6158750000001</v>
      </c>
      <c r="AN89" s="8">
        <v>45488</v>
      </c>
      <c r="AO89" s="4" t="b">
        <f t="shared" si="106"/>
        <v>1</v>
      </c>
    </row>
    <row r="90" spans="1:41" x14ac:dyDescent="0.3">
      <c r="A90" s="29">
        <v>2.125</v>
      </c>
      <c r="B90" s="7">
        <v>10</v>
      </c>
      <c r="C90" s="8">
        <v>49324</v>
      </c>
      <c r="D90" s="149">
        <f t="shared" si="100"/>
        <v>45672</v>
      </c>
      <c r="E90" s="150">
        <f>ROUND((VLOOKUP(YEAR(EDATE(D90,-2)),CPI!$A:$M,MONTH(EDATE(D90,-2))+1,FALSE)*(DAY(D90)-1)+VLOOKUP(YEAR(EDATE(D90,-3)),CPI!$A:$M,MONTH(EDATE(D90,-3))+1,FALSE)*(DAY(EOMONTH(D90,0))-DAY(D90)+1))/DAY(EOMONTH(D90,0)),5)</f>
        <v>315.58677</v>
      </c>
      <c r="F90" s="30">
        <v>45688</v>
      </c>
      <c r="G90" s="31">
        <v>49340</v>
      </c>
      <c r="H90" s="32">
        <v>1000</v>
      </c>
      <c r="I90" s="33">
        <f t="shared" si="192"/>
        <v>0</v>
      </c>
      <c r="J90" s="33">
        <f t="shared" si="192"/>
        <v>0</v>
      </c>
      <c r="K90" s="33">
        <f t="shared" si="192"/>
        <v>0</v>
      </c>
      <c r="L90" s="29">
        <f t="shared" si="192"/>
        <v>10.625</v>
      </c>
      <c r="M90" s="33">
        <f t="shared" si="192"/>
        <v>0</v>
      </c>
      <c r="N90" s="34">
        <f t="shared" si="192"/>
        <v>0</v>
      </c>
      <c r="O90" s="34">
        <f t="shared" ref="O90" si="234">SUM(I90:N90)</f>
        <v>10.625</v>
      </c>
      <c r="P90" s="35">
        <f t="shared" ref="P90" si="235">ROUND(ROUND(P$1/$E90,5)*I90,2)</f>
        <v>0</v>
      </c>
      <c r="Q90" s="36">
        <f t="shared" ref="Q90" si="236">ROUND(ROUND(Q$1/$E90,5)*J90,2)</f>
        <v>0</v>
      </c>
      <c r="R90" s="37">
        <f t="shared" ref="R90" si="237">ROUND(ROUND(R$1/$E90,5)*K90,2)</f>
        <v>0</v>
      </c>
      <c r="S90" s="35">
        <f t="shared" ref="S90" si="238">ROUND(ROUND(S$1/$E90,5)*L90,2)</f>
        <v>0</v>
      </c>
      <c r="T90" s="36">
        <f t="shared" ref="T90" si="239">ROUND(ROUND(T$1/$E90,5)*M90,2)</f>
        <v>0</v>
      </c>
      <c r="U90" s="37">
        <f t="shared" ref="U90" si="240">ROUND(ROUND(U$1/$E90,5)*N90,2)</f>
        <v>0</v>
      </c>
      <c r="V90" s="36">
        <f t="shared" ref="V90" si="241">SUM(P90:U90)</f>
        <v>0</v>
      </c>
      <c r="W90" s="42">
        <f t="shared" ref="W90" si="242">IF(F90&lt;$X$1,MAX(F90,$W$1),0)</f>
        <v>45688</v>
      </c>
      <c r="X90" s="43">
        <f t="shared" ref="X90" si="243">IF(G90&gt;$W$1,MIN(G90,$X$1),0)</f>
        <v>45839</v>
      </c>
      <c r="Y90" s="44">
        <f>IF(W90=0,0,ROUND((VLOOKUP(YEAR(EDATE(W90,-2)),CPI!$A:$M,MONTH(EDATE(W90,-2))+1,FALSE)*(DAY(W90)-1)+VLOOKUP(YEAR(EDATE(W90,-3)),CPI!$A:$M,MONTH(EDATE(W90,-3))+1,FALSE)*(DAY(EOMONTH(W90,0))-DAY(W90)+1))/DAY(EOMONTH(W90,0)),5))</f>
        <v>315.49851999999998</v>
      </c>
      <c r="Z90" s="44">
        <f>IF(X90=0,0,ROUND((VLOOKUP(YEAR(EDATE(X90,-2)),CPI!$A:$M,MONTH(EDATE(X90,-2))+1,FALSE)*(DAY(X90)-1)+VLOOKUP(YEAR(EDATE(X90,-3)),CPI!$A:$M,MONTH(EDATE(X90,-3))+1,FALSE)*(DAY(EOMONTH(X90,0))-DAY(X90)+1))/DAY(EOMONTH(X90,0)),5))</f>
        <v>320.79500000000002</v>
      </c>
      <c r="AA90" s="44">
        <f>ROUND((VLOOKUP(YEAR(EDATE(F90,-2)),CPI!$A:$M,MONTH(EDATE(F90,-2))+1,FALSE)*(DAY(F90)-1)+VLOOKUP(YEAR(EDATE(F90,-3)),CPI!$A:$M,MONTH(EDATE(F90,-3))+1,FALSE)*(DAY(EOMONTH(F90,0))-DAY(F90)+1))/DAY(EOMONTH(F90,0)),5)</f>
        <v>315.49851999999998</v>
      </c>
      <c r="AB90" s="45">
        <f>IF(G90&lt;D$1,E$1,IF(G90&gt;D$2,E$2,ROUND((VLOOKUP(YEAR(EDATE(G90,-2)),CPI!$A:$M,MONTH(EDATE(G90,-2))+1,FALSE)*(DAY(G90)-1)+VLOOKUP(YEAR(EDATE(G90,-3)),CPI!$A:$M,MONTH(EDATE(G90,-3))+1,FALSE)*(DAY(EOMONTH(G90,0))-DAY(G90)+1))/DAY(EOMONTH(G90,0)),5)))</f>
        <v>0</v>
      </c>
      <c r="AC90" s="60" t="str">
        <f t="shared" si="15"/>
        <v>01/31-07/01</v>
      </c>
      <c r="AD90" s="46">
        <f t="shared" si="6"/>
        <v>16.779999999999905</v>
      </c>
      <c r="AE90" s="76">
        <f t="shared" ref="AE90" si="244">IF(ISERROR(AB90),0,IF(AB90=0,0,H90*(ROUND(AB90/E90,5)-ROUND(AA90/E90,5))))</f>
        <v>0</v>
      </c>
      <c r="AF90" s="71">
        <f t="shared" ref="AF90" si="245">IF(AND(F90&lt;=AH$2,AH$2&lt;=G90),ROUND(ROUND(AH$1/E90,5)*H90,2),0)</f>
        <v>1012.03</v>
      </c>
      <c r="AG90" s="71">
        <f t="shared" ref="AG90" si="246">IF(AND(F90&lt;=AH$2,AH$2&lt;C90),ROUND(AF90*(A90/200)*COUPDAYBS(AH$2,C90,2,1)/COUPDAYS(AH$2,C90,2,1),2),0)</f>
        <v>7.07</v>
      </c>
      <c r="AH90" s="87">
        <f t="shared" ref="AH90" si="247">AF90+AG90</f>
        <v>1019.1</v>
      </c>
      <c r="AI90" s="115">
        <f t="shared" ref="AI90" si="248">IF(AND(F90&lt;=AH$2,AH$2&lt;=G90),VLOOKUP(TEXT(C90,"yyyy-mmdd")&amp;"-"&amp;TEXT(A90,"0.000"),wsj_quotes,10,FALSE),0)</f>
        <v>99.78125</v>
      </c>
      <c r="AJ90" s="36">
        <f t="shared" ref="AJ90" si="249">AF90*(AI90/100)</f>
        <v>1009.8161843749999</v>
      </c>
      <c r="AK90" s="37">
        <f t="shared" ref="AK90" si="250">AJ90+AG90</f>
        <v>1016.886184375</v>
      </c>
      <c r="AN90" s="8">
        <v>45672</v>
      </c>
      <c r="AO90" s="4" t="b">
        <f t="shared" si="106"/>
        <v>1</v>
      </c>
    </row>
    <row r="91" spans="1:41" x14ac:dyDescent="0.3">
      <c r="A91" s="29">
        <v>2.125</v>
      </c>
      <c r="B91" s="7">
        <v>30</v>
      </c>
      <c r="C91" s="8">
        <v>51181</v>
      </c>
      <c r="D91" s="149">
        <f t="shared" si="100"/>
        <v>40224</v>
      </c>
      <c r="E91" s="150">
        <f>ROUND((VLOOKUP(YEAR(EDATE(D91,-2)),CPI!$A:$M,MONTH(EDATE(D91,-2))+1,FALSE)*(DAY(D91)-1)+VLOOKUP(YEAR(EDATE(D91,-3)),CPI!$A:$M,MONTH(EDATE(D91,-3))+1,FALSE)*(DAY(EOMONTH(D91,0))-DAY(D91)+1))/DAY(EOMONTH(D91,0)),5)</f>
        <v>216.1395</v>
      </c>
      <c r="F91" s="30">
        <v>40235</v>
      </c>
      <c r="G91" s="31">
        <v>51181</v>
      </c>
      <c r="H91" s="32">
        <v>1000</v>
      </c>
      <c r="I91" s="33">
        <f t="shared" si="34"/>
        <v>0</v>
      </c>
      <c r="J91" s="33">
        <f t="shared" si="34"/>
        <v>10.625</v>
      </c>
      <c r="K91" s="33">
        <f t="shared" si="34"/>
        <v>0</v>
      </c>
      <c r="L91" s="29">
        <f t="shared" si="34"/>
        <v>0</v>
      </c>
      <c r="M91" s="33">
        <f t="shared" si="34"/>
        <v>10.625</v>
      </c>
      <c r="N91" s="34">
        <f t="shared" si="34"/>
        <v>0</v>
      </c>
      <c r="O91" s="34">
        <f t="shared" si="23"/>
        <v>21.25</v>
      </c>
      <c r="P91" s="35">
        <f t="shared" si="24"/>
        <v>0</v>
      </c>
      <c r="Q91" s="36">
        <f t="shared" si="25"/>
        <v>15.51</v>
      </c>
      <c r="R91" s="37">
        <f t="shared" si="26"/>
        <v>0</v>
      </c>
      <c r="S91" s="35">
        <f t="shared" si="27"/>
        <v>0</v>
      </c>
      <c r="T91" s="36">
        <f t="shared" si="28"/>
        <v>0</v>
      </c>
      <c r="U91" s="37">
        <f t="shared" si="29"/>
        <v>0</v>
      </c>
      <c r="V91" s="36">
        <f t="shared" si="30"/>
        <v>15.51</v>
      </c>
      <c r="W91" s="42">
        <f t="shared" si="31"/>
        <v>45658</v>
      </c>
      <c r="X91" s="43">
        <f t="shared" si="32"/>
        <v>45839</v>
      </c>
      <c r="Y91" s="44">
        <f>IF(W91=0,0,ROUND((VLOOKUP(YEAR(EDATE(W91,-2)),CPI!$A:$M,MONTH(EDATE(W91,-2))+1,FALSE)*(DAY(W91)-1)+VLOOKUP(YEAR(EDATE(W91,-3)),CPI!$A:$M,MONTH(EDATE(W91,-3))+1,FALSE)*(DAY(EOMONTH(W91,0))-DAY(W91)+1))/DAY(EOMONTH(W91,0)),5))</f>
        <v>315.66399999999999</v>
      </c>
      <c r="Z91" s="44">
        <f>IF(X91=0,0,ROUND((VLOOKUP(YEAR(EDATE(X91,-2)),CPI!$A:$M,MONTH(EDATE(X91,-2))+1,FALSE)*(DAY(X91)-1)+VLOOKUP(YEAR(EDATE(X91,-3)),CPI!$A:$M,MONTH(EDATE(X91,-3))+1,FALSE)*(DAY(EOMONTH(X91,0))-DAY(X91)+1))/DAY(EOMONTH(X91,0)),5))</f>
        <v>320.79500000000002</v>
      </c>
      <c r="AA91" s="44">
        <f>ROUND((VLOOKUP(YEAR(EDATE(F91,-2)),CPI!$A:$M,MONTH(EDATE(F91,-2))+1,FALSE)*(DAY(F91)-1)+VLOOKUP(YEAR(EDATE(F91,-3)),CPI!$A:$M,MONTH(EDATE(F91,-3))+1,FALSE)*(DAY(EOMONTH(F91,0))-DAY(F91)+1))/DAY(EOMONTH(F91,0)),5)</f>
        <v>215.98982000000001</v>
      </c>
      <c r="AB91" s="45">
        <f>IF(G91&lt;D$1,E$1,IF(G91&gt;D$2,E$2,ROUND((VLOOKUP(YEAR(EDATE(G91,-2)),CPI!$A:$M,MONTH(EDATE(G91,-2))+1,FALSE)*(DAY(G91)-1)+VLOOKUP(YEAR(EDATE(G91,-3)),CPI!$A:$M,MONTH(EDATE(G91,-3))+1,FALSE)*(DAY(EOMONTH(G91,0))-DAY(G91)+1))/DAY(EOMONTH(G91,0)),5)))</f>
        <v>0</v>
      </c>
      <c r="AC91" s="60" t="str">
        <f t="shared" si="15"/>
        <v/>
      </c>
      <c r="AD91" s="46">
        <f t="shared" si="6"/>
        <v>23.739999999999874</v>
      </c>
      <c r="AE91" s="76">
        <f t="shared" si="102"/>
        <v>0</v>
      </c>
      <c r="AF91" s="71">
        <f t="shared" si="36"/>
        <v>1477.67</v>
      </c>
      <c r="AG91" s="71">
        <f t="shared" si="113"/>
        <v>7.63</v>
      </c>
      <c r="AH91" s="87">
        <f t="shared" si="19"/>
        <v>1485.3000000000002</v>
      </c>
      <c r="AI91" s="115">
        <f t="shared" si="99"/>
        <v>96.937499999999986</v>
      </c>
      <c r="AJ91" s="36">
        <f t="shared" si="104"/>
        <v>1432.4163562499998</v>
      </c>
      <c r="AK91" s="37">
        <f t="shared" si="105"/>
        <v>1440.0463562499999</v>
      </c>
      <c r="AN91" s="8">
        <v>40224</v>
      </c>
      <c r="AO91" s="4" t="b">
        <f t="shared" si="106"/>
        <v>1</v>
      </c>
    </row>
    <row r="92" spans="1:41" x14ac:dyDescent="0.3">
      <c r="A92" s="29">
        <v>2.125</v>
      </c>
      <c r="B92" s="7">
        <v>30</v>
      </c>
      <c r="C92" s="8">
        <v>51547</v>
      </c>
      <c r="D92" s="149">
        <f t="shared" si="100"/>
        <v>40589</v>
      </c>
      <c r="E92" s="150">
        <f>ROUND((VLOOKUP(YEAR(EDATE(D92,-2)),CPI!$A:$M,MONTH(EDATE(D92,-2))+1,FALSE)*(DAY(D92)-1)+VLOOKUP(YEAR(EDATE(D92,-3)),CPI!$A:$M,MONTH(EDATE(D92,-3))+1,FALSE)*(DAY(EOMONTH(D92,0))-DAY(D92)+1))/DAY(EOMONTH(D92,0)),5)</f>
        <v>218.99100000000001</v>
      </c>
      <c r="F92" s="30">
        <v>40602</v>
      </c>
      <c r="G92" s="31">
        <v>51547</v>
      </c>
      <c r="H92" s="32">
        <v>1000</v>
      </c>
      <c r="I92" s="33">
        <f t="shared" si="34"/>
        <v>0</v>
      </c>
      <c r="J92" s="33">
        <f t="shared" si="34"/>
        <v>10.625</v>
      </c>
      <c r="K92" s="33">
        <f t="shared" si="34"/>
        <v>0</v>
      </c>
      <c r="L92" s="29">
        <f t="shared" si="34"/>
        <v>0</v>
      </c>
      <c r="M92" s="33">
        <f t="shared" si="34"/>
        <v>10.625</v>
      </c>
      <c r="N92" s="34">
        <f t="shared" si="34"/>
        <v>0</v>
      </c>
      <c r="O92" s="34">
        <f t="shared" si="23"/>
        <v>21.25</v>
      </c>
      <c r="P92" s="35">
        <f t="shared" si="24"/>
        <v>0</v>
      </c>
      <c r="Q92" s="36">
        <f t="shared" si="25"/>
        <v>15.31</v>
      </c>
      <c r="R92" s="37">
        <f t="shared" si="26"/>
        <v>0</v>
      </c>
      <c r="S92" s="35">
        <f t="shared" si="27"/>
        <v>0</v>
      </c>
      <c r="T92" s="36">
        <f t="shared" si="28"/>
        <v>0</v>
      </c>
      <c r="U92" s="37">
        <f t="shared" si="29"/>
        <v>0</v>
      </c>
      <c r="V92" s="36">
        <f t="shared" si="30"/>
        <v>15.31</v>
      </c>
      <c r="W92" s="42">
        <f t="shared" si="31"/>
        <v>45658</v>
      </c>
      <c r="X92" s="43">
        <f t="shared" si="32"/>
        <v>45839</v>
      </c>
      <c r="Y92" s="44">
        <f>IF(W92=0,0,ROUND((VLOOKUP(YEAR(EDATE(W92,-2)),CPI!$A:$M,MONTH(EDATE(W92,-2))+1,FALSE)*(DAY(W92)-1)+VLOOKUP(YEAR(EDATE(W92,-3)),CPI!$A:$M,MONTH(EDATE(W92,-3))+1,FALSE)*(DAY(EOMONTH(W92,0))-DAY(W92)+1))/DAY(EOMONTH(W92,0)),5))</f>
        <v>315.66399999999999</v>
      </c>
      <c r="Z92" s="44">
        <f>IF(X92=0,0,ROUND((VLOOKUP(YEAR(EDATE(X92,-2)),CPI!$A:$M,MONTH(EDATE(X92,-2))+1,FALSE)*(DAY(X92)-1)+VLOOKUP(YEAR(EDATE(X92,-3)),CPI!$A:$M,MONTH(EDATE(X92,-3))+1,FALSE)*(DAY(EOMONTH(X92,0))-DAY(X92)+1))/DAY(EOMONTH(X92,0)),5))</f>
        <v>320.79500000000002</v>
      </c>
      <c r="AA92" s="44">
        <f>ROUND((VLOOKUP(YEAR(EDATE(F92,-2)),CPI!$A:$M,MONTH(EDATE(F92,-2))+1,FALSE)*(DAY(F92)-1)+VLOOKUP(YEAR(EDATE(F92,-3)),CPI!$A:$M,MONTH(EDATE(F92,-3))+1,FALSE)*(DAY(EOMONTH(F92,0))-DAY(F92)+1))/DAY(EOMONTH(F92,0)),5)</f>
        <v>219.16557</v>
      </c>
      <c r="AB92" s="45">
        <f>IF(G92&lt;D$1,E$1,IF(G92&gt;D$2,E$2,ROUND((VLOOKUP(YEAR(EDATE(G92,-2)),CPI!$A:$M,MONTH(EDATE(G92,-2))+1,FALSE)*(DAY(G92)-1)+VLOOKUP(YEAR(EDATE(G92,-3)),CPI!$A:$M,MONTH(EDATE(G92,-3))+1,FALSE)*(DAY(EOMONTH(G92,0))-DAY(G92)+1))/DAY(EOMONTH(G92,0)),5)))</f>
        <v>0</v>
      </c>
      <c r="AC92" s="60" t="str">
        <f t="shared" si="15"/>
        <v/>
      </c>
      <c r="AD92" s="46">
        <f t="shared" si="6"/>
        <v>23.430000000000064</v>
      </c>
      <c r="AE92" s="76">
        <f t="shared" si="102"/>
        <v>0</v>
      </c>
      <c r="AF92" s="71">
        <f t="shared" si="36"/>
        <v>1458.43</v>
      </c>
      <c r="AG92" s="71">
        <f t="shared" si="113"/>
        <v>7.53</v>
      </c>
      <c r="AH92" s="87">
        <f t="shared" si="19"/>
        <v>1465.96</v>
      </c>
      <c r="AI92" s="115">
        <f t="shared" si="99"/>
        <v>96.1875</v>
      </c>
      <c r="AJ92" s="36">
        <f t="shared" si="104"/>
        <v>1402.8273562500001</v>
      </c>
      <c r="AK92" s="37">
        <f t="shared" si="105"/>
        <v>1410.3573562500001</v>
      </c>
      <c r="AN92" s="8">
        <v>40589</v>
      </c>
      <c r="AO92" s="4" t="b">
        <f t="shared" si="106"/>
        <v>1</v>
      </c>
    </row>
    <row r="93" spans="1:41" x14ac:dyDescent="0.3">
      <c r="A93" s="29">
        <v>0.75</v>
      </c>
      <c r="B93" s="7">
        <v>30</v>
      </c>
      <c r="C93" s="8">
        <v>51912</v>
      </c>
      <c r="D93" s="149">
        <f t="shared" si="100"/>
        <v>40954</v>
      </c>
      <c r="E93" s="150">
        <f>ROUND((VLOOKUP(YEAR(EDATE(D93,-2)),CPI!$A:$M,MONTH(EDATE(D93,-2))+1,FALSE)*(DAY(D93)-1)+VLOOKUP(YEAR(EDATE(D93,-3)),CPI!$A:$M,MONTH(EDATE(D93,-3))+1,FALSE)*(DAY(EOMONTH(D93,0))-DAY(D93)+1))/DAY(EOMONTH(D93,0)),5)</f>
        <v>225.96062000000001</v>
      </c>
      <c r="F93" s="30">
        <v>40968</v>
      </c>
      <c r="G93" s="31">
        <v>51912</v>
      </c>
      <c r="H93" s="32">
        <v>1000</v>
      </c>
      <c r="I93" s="33">
        <f t="shared" si="34"/>
        <v>0</v>
      </c>
      <c r="J93" s="33">
        <f t="shared" si="34"/>
        <v>3.75</v>
      </c>
      <c r="K93" s="33">
        <f t="shared" si="34"/>
        <v>0</v>
      </c>
      <c r="L93" s="29">
        <f t="shared" si="34"/>
        <v>0</v>
      </c>
      <c r="M93" s="33">
        <f t="shared" si="34"/>
        <v>3.75</v>
      </c>
      <c r="N93" s="34">
        <f t="shared" si="34"/>
        <v>0</v>
      </c>
      <c r="O93" s="34">
        <f t="shared" si="23"/>
        <v>7.5</v>
      </c>
      <c r="P93" s="35">
        <f t="shared" si="24"/>
        <v>0</v>
      </c>
      <c r="Q93" s="36">
        <f t="shared" si="25"/>
        <v>5.24</v>
      </c>
      <c r="R93" s="37">
        <f t="shared" si="26"/>
        <v>0</v>
      </c>
      <c r="S93" s="35">
        <f t="shared" si="27"/>
        <v>0</v>
      </c>
      <c r="T93" s="36">
        <f t="shared" si="28"/>
        <v>0</v>
      </c>
      <c r="U93" s="37">
        <f t="shared" si="29"/>
        <v>0</v>
      </c>
      <c r="V93" s="36">
        <f t="shared" si="30"/>
        <v>5.24</v>
      </c>
      <c r="W93" s="42">
        <f t="shared" si="31"/>
        <v>45658</v>
      </c>
      <c r="X93" s="43">
        <f t="shared" si="32"/>
        <v>45839</v>
      </c>
      <c r="Y93" s="44">
        <f>IF(W93=0,0,ROUND((VLOOKUP(YEAR(EDATE(W93,-2)),CPI!$A:$M,MONTH(EDATE(W93,-2))+1,FALSE)*(DAY(W93)-1)+VLOOKUP(YEAR(EDATE(W93,-3)),CPI!$A:$M,MONTH(EDATE(W93,-3))+1,FALSE)*(DAY(EOMONTH(W93,0))-DAY(W93)+1))/DAY(EOMONTH(W93,0)),5))</f>
        <v>315.66399999999999</v>
      </c>
      <c r="Z93" s="44">
        <f>IF(X93=0,0,ROUND((VLOOKUP(YEAR(EDATE(X93,-2)),CPI!$A:$M,MONTH(EDATE(X93,-2))+1,FALSE)*(DAY(X93)-1)+VLOOKUP(YEAR(EDATE(X93,-3)),CPI!$A:$M,MONTH(EDATE(X93,-3))+1,FALSE)*(DAY(EOMONTH(X93,0))-DAY(X93)+1))/DAY(EOMONTH(X93,0)),5))</f>
        <v>320.79500000000002</v>
      </c>
      <c r="AA93" s="44">
        <f>ROUND((VLOOKUP(YEAR(EDATE(F93,-2)),CPI!$A:$M,MONTH(EDATE(F93,-2))+1,FALSE)*(DAY(F93)-1)+VLOOKUP(YEAR(EDATE(F93,-3)),CPI!$A:$M,MONTH(EDATE(F93,-3))+1,FALSE)*(DAY(EOMONTH(F93,0))-DAY(F93)+1))/DAY(EOMONTH(F93,0)),5)</f>
        <v>225.69123999999999</v>
      </c>
      <c r="AB93" s="45">
        <f>IF(G93&lt;D$1,E$1,IF(G93&gt;D$2,E$2,ROUND((VLOOKUP(YEAR(EDATE(G93,-2)),CPI!$A:$M,MONTH(EDATE(G93,-2))+1,FALSE)*(DAY(G93)-1)+VLOOKUP(YEAR(EDATE(G93,-3)),CPI!$A:$M,MONTH(EDATE(G93,-3))+1,FALSE)*(DAY(EOMONTH(G93,0))-DAY(G93)+1))/DAY(EOMONTH(G93,0)),5)))</f>
        <v>0</v>
      </c>
      <c r="AC93" s="60" t="str">
        <f t="shared" si="15"/>
        <v/>
      </c>
      <c r="AD93" s="46">
        <f t="shared" si="6"/>
        <v>22.699999999999942</v>
      </c>
      <c r="AE93" s="76">
        <f t="shared" si="102"/>
        <v>0</v>
      </c>
      <c r="AF93" s="71">
        <f t="shared" si="36"/>
        <v>1413.44</v>
      </c>
      <c r="AG93" s="71">
        <f t="shared" si="113"/>
        <v>2.58</v>
      </c>
      <c r="AH93" s="87">
        <f t="shared" si="19"/>
        <v>1416.02</v>
      </c>
      <c r="AI93" s="115">
        <f t="shared" si="99"/>
        <v>76.09375</v>
      </c>
      <c r="AJ93" s="36">
        <f t="shared" si="104"/>
        <v>1075.5395000000001</v>
      </c>
      <c r="AK93" s="37">
        <f t="shared" si="105"/>
        <v>1078.1195</v>
      </c>
      <c r="AN93" s="8">
        <v>40954</v>
      </c>
      <c r="AO93" s="4" t="b">
        <f t="shared" si="106"/>
        <v>1</v>
      </c>
    </row>
    <row r="94" spans="1:41" x14ac:dyDescent="0.3">
      <c r="A94" s="29">
        <v>0.625</v>
      </c>
      <c r="B94" s="7">
        <v>30</v>
      </c>
      <c r="C94" s="8">
        <v>52277</v>
      </c>
      <c r="D94" s="149">
        <f t="shared" si="100"/>
        <v>41320</v>
      </c>
      <c r="E94" s="150">
        <f>ROUND((VLOOKUP(YEAR(EDATE(D94,-2)),CPI!$A:$M,MONTH(EDATE(D94,-2))+1,FALSE)*(DAY(D94)-1)+VLOOKUP(YEAR(EDATE(D94,-3)),CPI!$A:$M,MONTH(EDATE(D94,-3))+1,FALSE)*(DAY(EOMONTH(D94,0))-DAY(D94)+1))/DAY(EOMONTH(D94,0)),5)</f>
        <v>229.911</v>
      </c>
      <c r="F94" s="30">
        <v>41333</v>
      </c>
      <c r="G94" s="31">
        <v>52277</v>
      </c>
      <c r="H94" s="32">
        <v>1000</v>
      </c>
      <c r="I94" s="33">
        <f t="shared" si="34"/>
        <v>0</v>
      </c>
      <c r="J94" s="33">
        <f t="shared" si="34"/>
        <v>3.125</v>
      </c>
      <c r="K94" s="33">
        <f t="shared" si="34"/>
        <v>0</v>
      </c>
      <c r="L94" s="29">
        <f t="shared" si="34"/>
        <v>0</v>
      </c>
      <c r="M94" s="33">
        <f t="shared" si="34"/>
        <v>3.125</v>
      </c>
      <c r="N94" s="34">
        <f t="shared" si="34"/>
        <v>0</v>
      </c>
      <c r="O94" s="34">
        <f t="shared" si="23"/>
        <v>6.25</v>
      </c>
      <c r="P94" s="35">
        <f t="shared" si="24"/>
        <v>0</v>
      </c>
      <c r="Q94" s="36">
        <f t="shared" si="25"/>
        <v>4.29</v>
      </c>
      <c r="R94" s="37">
        <f t="shared" si="26"/>
        <v>0</v>
      </c>
      <c r="S94" s="35">
        <f t="shared" si="27"/>
        <v>0</v>
      </c>
      <c r="T94" s="36">
        <f t="shared" si="28"/>
        <v>0</v>
      </c>
      <c r="U94" s="37">
        <f t="shared" si="29"/>
        <v>0</v>
      </c>
      <c r="V94" s="36">
        <f t="shared" si="30"/>
        <v>4.29</v>
      </c>
      <c r="W94" s="42">
        <f t="shared" si="31"/>
        <v>45658</v>
      </c>
      <c r="X94" s="43">
        <f t="shared" si="32"/>
        <v>45839</v>
      </c>
      <c r="Y94" s="44">
        <f>IF(W94=0,0,ROUND((VLOOKUP(YEAR(EDATE(W94,-2)),CPI!$A:$M,MONTH(EDATE(W94,-2))+1,FALSE)*(DAY(W94)-1)+VLOOKUP(YEAR(EDATE(W94,-3)),CPI!$A:$M,MONTH(EDATE(W94,-3))+1,FALSE)*(DAY(EOMONTH(W94,0))-DAY(W94)+1))/DAY(EOMONTH(W94,0)),5))</f>
        <v>315.66399999999999</v>
      </c>
      <c r="Z94" s="44">
        <f>IF(X94=0,0,ROUND((VLOOKUP(YEAR(EDATE(X94,-2)),CPI!$A:$M,MONTH(EDATE(X94,-2))+1,FALSE)*(DAY(X94)-1)+VLOOKUP(YEAR(EDATE(X94,-3)),CPI!$A:$M,MONTH(EDATE(X94,-3))+1,FALSE)*(DAY(EOMONTH(X94,0))-DAY(X94)+1))/DAY(EOMONTH(X94,0)),5))</f>
        <v>320.79500000000002</v>
      </c>
      <c r="AA94" s="44">
        <f>ROUND((VLOOKUP(YEAR(EDATE(F94,-2)),CPI!$A:$M,MONTH(EDATE(F94,-2))+1,FALSE)*(DAY(F94)-1)+VLOOKUP(YEAR(EDATE(F94,-3)),CPI!$A:$M,MONTH(EDATE(F94,-3))+1,FALSE)*(DAY(EOMONTH(F94,0))-DAY(F94)+1))/DAY(EOMONTH(F94,0)),5)</f>
        <v>229.62314000000001</v>
      </c>
      <c r="AB94" s="45">
        <f>IF(G94&lt;D$1,E$1,IF(G94&gt;D$2,E$2,ROUND((VLOOKUP(YEAR(EDATE(G94,-2)),CPI!$A:$M,MONTH(EDATE(G94,-2))+1,FALSE)*(DAY(G94)-1)+VLOOKUP(YEAR(EDATE(G94,-3)),CPI!$A:$M,MONTH(EDATE(G94,-3))+1,FALSE)*(DAY(EOMONTH(G94,0))-DAY(G94)+1))/DAY(EOMONTH(G94,0)),5)))</f>
        <v>0</v>
      </c>
      <c r="AC94" s="60" t="str">
        <f t="shared" si="15"/>
        <v/>
      </c>
      <c r="AD94" s="46">
        <f t="shared" si="6"/>
        <v>22.319999999999894</v>
      </c>
      <c r="AE94" s="76">
        <f t="shared" si="102"/>
        <v>0</v>
      </c>
      <c r="AF94" s="71">
        <f t="shared" si="36"/>
        <v>1389.16</v>
      </c>
      <c r="AG94" s="71">
        <f t="shared" si="113"/>
        <v>2.11</v>
      </c>
      <c r="AH94" s="87">
        <f t="shared" si="19"/>
        <v>1391.27</v>
      </c>
      <c r="AI94" s="115">
        <f t="shared" si="99"/>
        <v>72.749999999999986</v>
      </c>
      <c r="AJ94" s="36">
        <f t="shared" si="104"/>
        <v>1010.6138999999998</v>
      </c>
      <c r="AK94" s="37">
        <f t="shared" si="105"/>
        <v>1012.7238999999998</v>
      </c>
      <c r="AN94" s="8">
        <v>41320</v>
      </c>
      <c r="AO94" s="4" t="b">
        <f t="shared" si="106"/>
        <v>1</v>
      </c>
    </row>
    <row r="95" spans="1:41" x14ac:dyDescent="0.3">
      <c r="A95" s="29">
        <v>1.375</v>
      </c>
      <c r="B95" s="7">
        <v>30</v>
      </c>
      <c r="C95" s="8">
        <v>52642</v>
      </c>
      <c r="D95" s="149">
        <f t="shared" si="100"/>
        <v>41685</v>
      </c>
      <c r="E95" s="150">
        <f>ROUND((VLOOKUP(YEAR(EDATE(D95,-2)),CPI!$A:$M,MONTH(EDATE(D95,-2))+1,FALSE)*(DAY(D95)-1)+VLOOKUP(YEAR(EDATE(D95,-3)),CPI!$A:$M,MONTH(EDATE(D95,-3))+1,FALSE)*(DAY(EOMONTH(D95,0))-DAY(D95)+1))/DAY(EOMONTH(D95,0)),5)</f>
        <v>233.059</v>
      </c>
      <c r="F95" s="30">
        <v>41698</v>
      </c>
      <c r="G95" s="31">
        <v>52642</v>
      </c>
      <c r="H95" s="32">
        <v>1000</v>
      </c>
      <c r="I95" s="33">
        <f t="shared" si="34"/>
        <v>0</v>
      </c>
      <c r="J95" s="33">
        <f t="shared" si="34"/>
        <v>6.875</v>
      </c>
      <c r="K95" s="33">
        <f t="shared" si="34"/>
        <v>0</v>
      </c>
      <c r="L95" s="29">
        <f t="shared" si="34"/>
        <v>0</v>
      </c>
      <c r="M95" s="33">
        <f t="shared" si="34"/>
        <v>6.875</v>
      </c>
      <c r="N95" s="34">
        <f t="shared" si="34"/>
        <v>0</v>
      </c>
      <c r="O95" s="34">
        <f>SUM(I95:N95)</f>
        <v>13.75</v>
      </c>
      <c r="P95" s="35">
        <f t="shared" ref="P95:U105" si="251">ROUND(ROUND(P$1/$E95,5)*I95,2)</f>
        <v>0</v>
      </c>
      <c r="Q95" s="36">
        <f t="shared" si="251"/>
        <v>9.31</v>
      </c>
      <c r="R95" s="37">
        <f t="shared" si="251"/>
        <v>0</v>
      </c>
      <c r="S95" s="35">
        <f t="shared" si="251"/>
        <v>0</v>
      </c>
      <c r="T95" s="36">
        <f t="shared" si="251"/>
        <v>0</v>
      </c>
      <c r="U95" s="37">
        <f t="shared" si="251"/>
        <v>0</v>
      </c>
      <c r="V95" s="36">
        <f>SUM(P95:U95)</f>
        <v>9.31</v>
      </c>
      <c r="W95" s="42">
        <f>IF(F95&lt;$X$1,MAX(F95,$W$1),0)</f>
        <v>45658</v>
      </c>
      <c r="X95" s="43">
        <f>IF(G95&gt;$W$1,MIN(G95,$X$1),0)</f>
        <v>45839</v>
      </c>
      <c r="Y95" s="44">
        <f>IF(W95=0,0,ROUND((VLOOKUP(YEAR(EDATE(W95,-2)),CPI!$A:$M,MONTH(EDATE(W95,-2))+1,FALSE)*(DAY(W95)-1)+VLOOKUP(YEAR(EDATE(W95,-3)),CPI!$A:$M,MONTH(EDATE(W95,-3))+1,FALSE)*(DAY(EOMONTH(W95,0))-DAY(W95)+1))/DAY(EOMONTH(W95,0)),5))</f>
        <v>315.66399999999999</v>
      </c>
      <c r="Z95" s="44">
        <f>IF(X95=0,0,ROUND((VLOOKUP(YEAR(EDATE(X95,-2)),CPI!$A:$M,MONTH(EDATE(X95,-2))+1,FALSE)*(DAY(X95)-1)+VLOOKUP(YEAR(EDATE(X95,-3)),CPI!$A:$M,MONTH(EDATE(X95,-3))+1,FALSE)*(DAY(EOMONTH(X95,0))-DAY(X95)+1))/DAY(EOMONTH(X95,0)),5))</f>
        <v>320.79500000000002</v>
      </c>
      <c r="AA95" s="44">
        <f>ROUND((VLOOKUP(YEAR(EDATE(F95,-2)),CPI!$A:$M,MONTH(EDATE(F95,-2))+1,FALSE)*(DAY(F95)-1)+VLOOKUP(YEAR(EDATE(F95,-3)),CPI!$A:$M,MONTH(EDATE(F95,-3))+1,FALSE)*(DAY(EOMONTH(F95,0))-DAY(F95)+1))/DAY(EOMONTH(F95,0)),5)</f>
        <v>233.04971</v>
      </c>
      <c r="AB95" s="45">
        <f>IF(G95&lt;D$1,E$1,IF(G95&gt;D$2,E$2,ROUND((VLOOKUP(YEAR(EDATE(G95,-2)),CPI!$A:$M,MONTH(EDATE(G95,-2))+1,FALSE)*(DAY(G95)-1)+VLOOKUP(YEAR(EDATE(G95,-3)),CPI!$A:$M,MONTH(EDATE(G95,-3))+1,FALSE)*(DAY(EOMONTH(G95,0))-DAY(G95)+1))/DAY(EOMONTH(G95,0)),5)))</f>
        <v>0</v>
      </c>
      <c r="AC95" s="60" t="str">
        <f t="shared" si="15"/>
        <v/>
      </c>
      <c r="AD95" s="46">
        <f t="shared" si="6"/>
        <v>22.009999999999863</v>
      </c>
      <c r="AE95" s="76">
        <f t="shared" si="102"/>
        <v>0</v>
      </c>
      <c r="AF95" s="71">
        <f t="shared" si="36"/>
        <v>1370.39</v>
      </c>
      <c r="AG95" s="71">
        <f t="shared" si="113"/>
        <v>4.58</v>
      </c>
      <c r="AH95" s="87">
        <f t="shared" ref="AH95:AH106" si="252">AF95+AG95</f>
        <v>1374.97</v>
      </c>
      <c r="AI95" s="115">
        <f t="shared" si="99"/>
        <v>82.218749999999972</v>
      </c>
      <c r="AJ95" s="36">
        <f t="shared" si="104"/>
        <v>1126.7175281249997</v>
      </c>
      <c r="AK95" s="37">
        <f t="shared" si="105"/>
        <v>1131.2975281249996</v>
      </c>
      <c r="AN95" s="8">
        <v>41685</v>
      </c>
      <c r="AO95" s="4" t="b">
        <f t="shared" si="106"/>
        <v>1</v>
      </c>
    </row>
    <row r="96" spans="1:41" x14ac:dyDescent="0.3">
      <c r="A96" s="29">
        <v>0.75</v>
      </c>
      <c r="B96" s="7">
        <v>30</v>
      </c>
      <c r="C96" s="8">
        <v>53008</v>
      </c>
      <c r="D96" s="149">
        <f t="shared" si="100"/>
        <v>42050</v>
      </c>
      <c r="E96" s="150">
        <f>ROUND((VLOOKUP(YEAR(EDATE(D96,-2)),CPI!$A:$M,MONTH(EDATE(D96,-2))+1,FALSE)*(DAY(D96)-1)+VLOOKUP(YEAR(EDATE(D96,-3)),CPI!$A:$M,MONTH(EDATE(D96,-3))+1,FALSE)*(DAY(EOMONTH(D96,0))-DAY(D96)+1))/DAY(EOMONTH(D96,0)),5)</f>
        <v>235.48150000000001</v>
      </c>
      <c r="F96" s="30">
        <v>42062</v>
      </c>
      <c r="G96" s="31">
        <v>53008</v>
      </c>
      <c r="H96" s="32">
        <v>1000</v>
      </c>
      <c r="I96" s="33">
        <f t="shared" si="34"/>
        <v>0</v>
      </c>
      <c r="J96" s="33">
        <f t="shared" si="34"/>
        <v>3.75</v>
      </c>
      <c r="K96" s="33">
        <f t="shared" si="34"/>
        <v>0</v>
      </c>
      <c r="L96" s="29">
        <f t="shared" si="34"/>
        <v>0</v>
      </c>
      <c r="M96" s="33">
        <f t="shared" si="34"/>
        <v>3.75</v>
      </c>
      <c r="N96" s="34">
        <f t="shared" si="34"/>
        <v>0</v>
      </c>
      <c r="O96" s="34">
        <f>SUM(I96:N96)</f>
        <v>7.5</v>
      </c>
      <c r="P96" s="35">
        <f t="shared" si="251"/>
        <v>0</v>
      </c>
      <c r="Q96" s="36">
        <f t="shared" si="251"/>
        <v>5.03</v>
      </c>
      <c r="R96" s="37">
        <f t="shared" si="251"/>
        <v>0</v>
      </c>
      <c r="S96" s="35">
        <f t="shared" si="251"/>
        <v>0</v>
      </c>
      <c r="T96" s="36">
        <f t="shared" si="251"/>
        <v>0</v>
      </c>
      <c r="U96" s="37">
        <f t="shared" si="251"/>
        <v>0</v>
      </c>
      <c r="V96" s="36">
        <f>SUM(P96:U96)</f>
        <v>5.03</v>
      </c>
      <c r="W96" s="42">
        <f>IF(F96&lt;$X$1,MAX(F96,$W$1),0)</f>
        <v>45658</v>
      </c>
      <c r="X96" s="43">
        <f>IF(G96&gt;$W$1,MIN(G96,$X$1),0)</f>
        <v>45839</v>
      </c>
      <c r="Y96" s="44">
        <f>IF(W96=0,0,ROUND((VLOOKUP(YEAR(EDATE(W96,-2)),CPI!$A:$M,MONTH(EDATE(W96,-2))+1,FALSE)*(DAY(W96)-1)+VLOOKUP(YEAR(EDATE(W96,-3)),CPI!$A:$M,MONTH(EDATE(W96,-3))+1,FALSE)*(DAY(EOMONTH(W96,0))-DAY(W96)+1))/DAY(EOMONTH(W96,0)),5))</f>
        <v>315.66399999999999</v>
      </c>
      <c r="Z96" s="44">
        <f>IF(X96=0,0,ROUND((VLOOKUP(YEAR(EDATE(X96,-2)),CPI!$A:$M,MONTH(EDATE(X96,-2))+1,FALSE)*(DAY(X96)-1)+VLOOKUP(YEAR(EDATE(X96,-3)),CPI!$A:$M,MONTH(EDATE(X96,-3))+1,FALSE)*(DAY(EOMONTH(X96,0))-DAY(X96)+1))/DAY(EOMONTH(X96,0)),5))</f>
        <v>320.79500000000002</v>
      </c>
      <c r="AA96" s="44">
        <f>ROUND((VLOOKUP(YEAR(EDATE(F96,-2)),CPI!$A:$M,MONTH(EDATE(F96,-2))+1,FALSE)*(DAY(F96)-1)+VLOOKUP(YEAR(EDATE(F96,-3)),CPI!$A:$M,MONTH(EDATE(F96,-3))+1,FALSE)*(DAY(EOMONTH(F96,0))-DAY(F96)+1))/DAY(EOMONTH(F96,0)),5)</f>
        <v>234.90763999999999</v>
      </c>
      <c r="AB96" s="45">
        <f>IF(G96&lt;D$1,E$1,IF(G96&gt;D$2,E$2,ROUND((VLOOKUP(YEAR(EDATE(G96,-2)),CPI!$A:$M,MONTH(EDATE(G96,-2))+1,FALSE)*(DAY(G96)-1)+VLOOKUP(YEAR(EDATE(G96,-3)),CPI!$A:$M,MONTH(EDATE(G96,-3))+1,FALSE)*(DAY(EOMONTH(G96,0))-DAY(G96)+1))/DAY(EOMONTH(G96,0)),5)))</f>
        <v>0</v>
      </c>
      <c r="AC96" s="60" t="str">
        <f t="shared" si="15"/>
        <v/>
      </c>
      <c r="AD96" s="46">
        <f t="shared" si="6"/>
        <v>21.789999999999978</v>
      </c>
      <c r="AE96" s="76">
        <f t="shared" si="102"/>
        <v>0</v>
      </c>
      <c r="AF96" s="71">
        <f t="shared" si="36"/>
        <v>1356.3</v>
      </c>
      <c r="AG96" s="71">
        <f t="shared" si="113"/>
        <v>2.4700000000000002</v>
      </c>
      <c r="AH96" s="87">
        <f t="shared" si="252"/>
        <v>1358.77</v>
      </c>
      <c r="AI96" s="115">
        <f t="shared" si="99"/>
        <v>71.406249999999986</v>
      </c>
      <c r="AJ96" s="36">
        <f t="shared" si="104"/>
        <v>968.48296874999971</v>
      </c>
      <c r="AK96" s="37">
        <f t="shared" si="105"/>
        <v>970.95296874999974</v>
      </c>
      <c r="AN96" s="8">
        <v>42050</v>
      </c>
      <c r="AO96" s="4" t="b">
        <f t="shared" si="106"/>
        <v>1</v>
      </c>
    </row>
    <row r="97" spans="1:41" x14ac:dyDescent="0.3">
      <c r="A97" s="29">
        <v>1</v>
      </c>
      <c r="B97" s="7">
        <v>30</v>
      </c>
      <c r="C97" s="8">
        <v>53373</v>
      </c>
      <c r="D97" s="149">
        <f t="shared" si="100"/>
        <v>42415</v>
      </c>
      <c r="E97" s="150">
        <f>ROUND((VLOOKUP(YEAR(EDATE(D97,-2)),CPI!$A:$M,MONTH(EDATE(D97,-2))+1,FALSE)*(DAY(D97)-1)+VLOOKUP(YEAR(EDATE(D97,-3)),CPI!$A:$M,MONTH(EDATE(D97,-3))+1,FALSE)*(DAY(EOMONTH(D97,0))-DAY(D97)+1))/DAY(EOMONTH(D97,0)),5)</f>
        <v>236.94448</v>
      </c>
      <c r="F97" s="30">
        <v>42429</v>
      </c>
      <c r="G97" s="31">
        <v>53373</v>
      </c>
      <c r="H97" s="32">
        <v>1000</v>
      </c>
      <c r="I97" s="33">
        <f t="shared" si="34"/>
        <v>0</v>
      </c>
      <c r="J97" s="33">
        <f t="shared" si="34"/>
        <v>5</v>
      </c>
      <c r="K97" s="33">
        <f t="shared" si="34"/>
        <v>0</v>
      </c>
      <c r="L97" s="29">
        <f t="shared" si="34"/>
        <v>0</v>
      </c>
      <c r="M97" s="33">
        <f t="shared" si="34"/>
        <v>5</v>
      </c>
      <c r="N97" s="34">
        <f t="shared" si="34"/>
        <v>0</v>
      </c>
      <c r="O97" s="34">
        <f t="shared" ref="O97" si="253">SUM(I97:N97)</f>
        <v>10</v>
      </c>
      <c r="P97" s="35">
        <f t="shared" si="251"/>
        <v>0</v>
      </c>
      <c r="Q97" s="36">
        <f t="shared" si="251"/>
        <v>6.66</v>
      </c>
      <c r="R97" s="37">
        <f t="shared" si="251"/>
        <v>0</v>
      </c>
      <c r="S97" s="35">
        <f t="shared" si="251"/>
        <v>0</v>
      </c>
      <c r="T97" s="36">
        <f t="shared" si="251"/>
        <v>0</v>
      </c>
      <c r="U97" s="37">
        <f t="shared" si="251"/>
        <v>0</v>
      </c>
      <c r="V97" s="36">
        <f t="shared" ref="V97" si="254">SUM(P97:U97)</f>
        <v>6.66</v>
      </c>
      <c r="W97" s="42">
        <f t="shared" ref="W97:W105" si="255">IF(F97&lt;$X$1,MAX(F97,$W$1),0)</f>
        <v>45658</v>
      </c>
      <c r="X97" s="43">
        <f t="shared" ref="X97:X105" si="256">IF(G97&gt;$W$1,MIN(G97,$X$1),0)</f>
        <v>45839</v>
      </c>
      <c r="Y97" s="44">
        <f>IF(W97=0,0,ROUND((VLOOKUP(YEAR(EDATE(W97,-2)),CPI!$A:$M,MONTH(EDATE(W97,-2))+1,FALSE)*(DAY(W97)-1)+VLOOKUP(YEAR(EDATE(W97,-3)),CPI!$A:$M,MONTH(EDATE(W97,-3))+1,FALSE)*(DAY(EOMONTH(W97,0))-DAY(W97)+1))/DAY(EOMONTH(W97,0)),5))</f>
        <v>315.66399999999999</v>
      </c>
      <c r="Z97" s="44">
        <f>IF(X97=0,0,ROUND((VLOOKUP(YEAR(EDATE(X97,-2)),CPI!$A:$M,MONTH(EDATE(X97,-2))+1,FALSE)*(DAY(X97)-1)+VLOOKUP(YEAR(EDATE(X97,-3)),CPI!$A:$M,MONTH(EDATE(X97,-3))+1,FALSE)*(DAY(EOMONTH(X97,0))-DAY(X97)+1))/DAY(EOMONTH(X97,0)),5))</f>
        <v>320.79500000000002</v>
      </c>
      <c r="AA97" s="44">
        <f>ROUND((VLOOKUP(YEAR(EDATE(F97,-2)),CPI!$A:$M,MONTH(EDATE(F97,-2))+1,FALSE)*(DAY(F97)-1)+VLOOKUP(YEAR(EDATE(F97,-3)),CPI!$A:$M,MONTH(EDATE(F97,-3))+1,FALSE)*(DAY(EOMONTH(F97,0))-DAY(F97)+1))/DAY(EOMONTH(F97,0)),5)</f>
        <v>236.55296999999999</v>
      </c>
      <c r="AB97" s="45">
        <f>IF(G97&lt;D$1,E$1,IF(G97&gt;D$2,E$2,ROUND((VLOOKUP(YEAR(EDATE(G97,-2)),CPI!$A:$M,MONTH(EDATE(G97,-2))+1,FALSE)*(DAY(G97)-1)+VLOOKUP(YEAR(EDATE(G97,-3)),CPI!$A:$M,MONTH(EDATE(G97,-3))+1,FALSE)*(DAY(EOMONTH(G97,0))-DAY(G97)+1))/DAY(EOMONTH(G97,0)),5)))</f>
        <v>0</v>
      </c>
      <c r="AC97" s="60" t="str">
        <f t="shared" si="15"/>
        <v/>
      </c>
      <c r="AD97" s="46">
        <f t="shared" si="6"/>
        <v>21.649999999999949</v>
      </c>
      <c r="AE97" s="76">
        <f t="shared" si="102"/>
        <v>0</v>
      </c>
      <c r="AF97" s="71">
        <f t="shared" si="36"/>
        <v>1347.92</v>
      </c>
      <c r="AG97" s="71">
        <f t="shared" si="113"/>
        <v>3.28</v>
      </c>
      <c r="AH97" s="87">
        <f t="shared" si="252"/>
        <v>1351.2</v>
      </c>
      <c r="AI97" s="115">
        <f t="shared" si="99"/>
        <v>74</v>
      </c>
      <c r="AJ97" s="36">
        <f t="shared" si="104"/>
        <v>997.46080000000006</v>
      </c>
      <c r="AK97" s="37">
        <f t="shared" si="105"/>
        <v>1000.7408</v>
      </c>
      <c r="AN97" s="8">
        <v>42415</v>
      </c>
      <c r="AO97" s="4" t="b">
        <f t="shared" si="106"/>
        <v>1</v>
      </c>
    </row>
    <row r="98" spans="1:41" x14ac:dyDescent="0.3">
      <c r="A98" s="29">
        <v>0.875</v>
      </c>
      <c r="B98" s="7">
        <v>30</v>
      </c>
      <c r="C98" s="8">
        <v>53738</v>
      </c>
      <c r="D98" s="149">
        <f t="shared" si="100"/>
        <v>42781</v>
      </c>
      <c r="E98" s="150">
        <f>ROUND((VLOOKUP(YEAR(EDATE(D98,-2)),CPI!$A:$M,MONTH(EDATE(D98,-2))+1,FALSE)*(DAY(D98)-1)+VLOOKUP(YEAR(EDATE(D98,-3)),CPI!$A:$M,MONTH(EDATE(D98,-3))+1,FALSE)*(DAY(EOMONTH(D98,0))-DAY(D98)+1))/DAY(EOMONTH(D98,0)),5)</f>
        <v>241.39250000000001</v>
      </c>
      <c r="F98" s="30">
        <v>42794</v>
      </c>
      <c r="G98" s="31">
        <v>53738</v>
      </c>
      <c r="H98" s="32">
        <v>1000</v>
      </c>
      <c r="I98" s="33">
        <f t="shared" si="34"/>
        <v>0</v>
      </c>
      <c r="J98" s="33">
        <f t="shared" si="34"/>
        <v>4.375</v>
      </c>
      <c r="K98" s="33">
        <f t="shared" si="34"/>
        <v>0</v>
      </c>
      <c r="L98" s="29">
        <f t="shared" si="34"/>
        <v>0</v>
      </c>
      <c r="M98" s="33">
        <f t="shared" si="34"/>
        <v>4.375</v>
      </c>
      <c r="N98" s="34">
        <f t="shared" si="34"/>
        <v>0</v>
      </c>
      <c r="O98" s="34">
        <f t="shared" ref="O98" si="257">SUM(I98:N98)</f>
        <v>8.75</v>
      </c>
      <c r="P98" s="35">
        <f t="shared" si="251"/>
        <v>0</v>
      </c>
      <c r="Q98" s="36">
        <f t="shared" si="251"/>
        <v>5.72</v>
      </c>
      <c r="R98" s="37">
        <f t="shared" si="251"/>
        <v>0</v>
      </c>
      <c r="S98" s="35">
        <f t="shared" si="251"/>
        <v>0</v>
      </c>
      <c r="T98" s="36">
        <f t="shared" si="251"/>
        <v>0</v>
      </c>
      <c r="U98" s="37">
        <f t="shared" si="251"/>
        <v>0</v>
      </c>
      <c r="V98" s="36">
        <f t="shared" ref="V98" si="258">SUM(P98:U98)</f>
        <v>5.72</v>
      </c>
      <c r="W98" s="42">
        <f t="shared" si="255"/>
        <v>45658</v>
      </c>
      <c r="X98" s="43">
        <f t="shared" si="256"/>
        <v>45839</v>
      </c>
      <c r="Y98" s="44">
        <f>IF(W98=0,0,ROUND((VLOOKUP(YEAR(EDATE(W98,-2)),CPI!$A:$M,MONTH(EDATE(W98,-2))+1,FALSE)*(DAY(W98)-1)+VLOOKUP(YEAR(EDATE(W98,-3)),CPI!$A:$M,MONTH(EDATE(W98,-3))+1,FALSE)*(DAY(EOMONTH(W98,0))-DAY(W98)+1))/DAY(EOMONTH(W98,0)),5))</f>
        <v>315.66399999999999</v>
      </c>
      <c r="Z98" s="44">
        <f>IF(X98=0,0,ROUND((VLOOKUP(YEAR(EDATE(X98,-2)),CPI!$A:$M,MONTH(EDATE(X98,-2))+1,FALSE)*(DAY(X98)-1)+VLOOKUP(YEAR(EDATE(X98,-3)),CPI!$A:$M,MONTH(EDATE(X98,-3))+1,FALSE)*(DAY(EOMONTH(X98,0))-DAY(X98)+1))/DAY(EOMONTH(X98,0)),5))</f>
        <v>320.79500000000002</v>
      </c>
      <c r="AA98" s="44">
        <f>ROUND((VLOOKUP(YEAR(EDATE(F98,-2)),CPI!$A:$M,MONTH(EDATE(F98,-2))+1,FALSE)*(DAY(F98)-1)+VLOOKUP(YEAR(EDATE(F98,-3)),CPI!$A:$M,MONTH(EDATE(F98,-3))+1,FALSE)*(DAY(EOMONTH(F98,0))-DAY(F98)+1))/DAY(EOMONTH(F98,0)),5)</f>
        <v>241.42918</v>
      </c>
      <c r="AB98" s="45">
        <f>IF(G98&lt;D$1,E$1,IF(G98&gt;D$2,E$2,ROUND((VLOOKUP(YEAR(EDATE(G98,-2)),CPI!$A:$M,MONTH(EDATE(G98,-2))+1,FALSE)*(DAY(G98)-1)+VLOOKUP(YEAR(EDATE(G98,-3)),CPI!$A:$M,MONTH(EDATE(G98,-3))+1,FALSE)*(DAY(EOMONTH(G98,0))-DAY(G98)+1))/DAY(EOMONTH(G98,0)),5)))</f>
        <v>0</v>
      </c>
      <c r="AC98" s="60" t="str">
        <f t="shared" si="15"/>
        <v/>
      </c>
      <c r="AD98" s="46">
        <f t="shared" si="6"/>
        <v>21.260000000000055</v>
      </c>
      <c r="AE98" s="76">
        <f t="shared" si="102"/>
        <v>0</v>
      </c>
      <c r="AF98" s="71">
        <f t="shared" si="36"/>
        <v>1323.08</v>
      </c>
      <c r="AG98" s="71">
        <f t="shared" si="113"/>
        <v>2.81</v>
      </c>
      <c r="AH98" s="87">
        <f t="shared" si="252"/>
        <v>1325.8899999999999</v>
      </c>
      <c r="AI98" s="115">
        <f t="shared" si="99"/>
        <v>70.718750000000014</v>
      </c>
      <c r="AJ98" s="36">
        <f t="shared" si="104"/>
        <v>935.66563750000023</v>
      </c>
      <c r="AK98" s="37">
        <f t="shared" si="105"/>
        <v>938.47563750000018</v>
      </c>
      <c r="AN98" s="8">
        <v>42781</v>
      </c>
      <c r="AO98" s="4" t="b">
        <f t="shared" si="106"/>
        <v>1</v>
      </c>
    </row>
    <row r="99" spans="1:41" x14ac:dyDescent="0.3">
      <c r="A99" s="29">
        <v>1</v>
      </c>
      <c r="B99" s="7">
        <v>30</v>
      </c>
      <c r="C99" s="8">
        <v>54103</v>
      </c>
      <c r="D99" s="149">
        <f t="shared" si="100"/>
        <v>43146</v>
      </c>
      <c r="E99" s="150">
        <f>ROUND((VLOOKUP(YEAR(EDATE(D99,-2)),CPI!$A:$M,MONTH(EDATE(D99,-2))+1,FALSE)*(DAY(D99)-1)+VLOOKUP(YEAR(EDATE(D99,-3)),CPI!$A:$M,MONTH(EDATE(D99,-3))+1,FALSE)*(DAY(EOMONTH(D99,0))-DAY(D99)+1))/DAY(EOMONTH(D99,0)),5)</f>
        <v>246.59649999999999</v>
      </c>
      <c r="F99" s="30">
        <v>43159</v>
      </c>
      <c r="G99" s="31">
        <v>54103</v>
      </c>
      <c r="H99" s="32">
        <v>1000</v>
      </c>
      <c r="I99" s="33">
        <f t="shared" si="34"/>
        <v>0</v>
      </c>
      <c r="J99" s="33">
        <f t="shared" si="34"/>
        <v>5</v>
      </c>
      <c r="K99" s="33">
        <f t="shared" si="34"/>
        <v>0</v>
      </c>
      <c r="L99" s="29">
        <f t="shared" si="34"/>
        <v>0</v>
      </c>
      <c r="M99" s="33">
        <f t="shared" si="34"/>
        <v>5</v>
      </c>
      <c r="N99" s="34">
        <f t="shared" si="34"/>
        <v>0</v>
      </c>
      <c r="O99" s="34">
        <f t="shared" ref="O99:O101" si="259">SUM(I99:N99)</f>
        <v>10</v>
      </c>
      <c r="P99" s="35">
        <f t="shared" si="251"/>
        <v>0</v>
      </c>
      <c r="Q99" s="36">
        <f t="shared" si="251"/>
        <v>6.4</v>
      </c>
      <c r="R99" s="37">
        <f t="shared" si="251"/>
        <v>0</v>
      </c>
      <c r="S99" s="35">
        <f t="shared" si="251"/>
        <v>0</v>
      </c>
      <c r="T99" s="36">
        <f t="shared" si="251"/>
        <v>0</v>
      </c>
      <c r="U99" s="37">
        <f t="shared" si="251"/>
        <v>0</v>
      </c>
      <c r="V99" s="36">
        <f t="shared" ref="V99:V101" si="260">SUM(P99:U99)</f>
        <v>6.4</v>
      </c>
      <c r="W99" s="42">
        <f t="shared" si="255"/>
        <v>45658</v>
      </c>
      <c r="X99" s="43">
        <f t="shared" si="256"/>
        <v>45839</v>
      </c>
      <c r="Y99" s="44">
        <f>IF(W99=0,0,ROUND((VLOOKUP(YEAR(EDATE(W99,-2)),CPI!$A:$M,MONTH(EDATE(W99,-2))+1,FALSE)*(DAY(W99)-1)+VLOOKUP(YEAR(EDATE(W99,-3)),CPI!$A:$M,MONTH(EDATE(W99,-3))+1,FALSE)*(DAY(EOMONTH(W99,0))-DAY(W99)+1))/DAY(EOMONTH(W99,0)),5))</f>
        <v>315.66399999999999</v>
      </c>
      <c r="Z99" s="44">
        <f>IF(X99=0,0,ROUND((VLOOKUP(YEAR(EDATE(X99,-2)),CPI!$A:$M,MONTH(EDATE(X99,-2))+1,FALSE)*(DAY(X99)-1)+VLOOKUP(YEAR(EDATE(X99,-3)),CPI!$A:$M,MONTH(EDATE(X99,-3))+1,FALSE)*(DAY(EOMONTH(X99,0))-DAY(X99)+1))/DAY(EOMONTH(X99,0)),5))</f>
        <v>320.79500000000002</v>
      </c>
      <c r="AA99" s="44">
        <f>ROUND((VLOOKUP(YEAR(EDATE(F99,-2)),CPI!$A:$M,MONTH(EDATE(F99,-2))+1,FALSE)*(DAY(F99)-1)+VLOOKUP(YEAR(EDATE(F99,-3)),CPI!$A:$M,MONTH(EDATE(F99,-3))+1,FALSE)*(DAY(EOMONTH(F99,0))-DAY(F99)+1))/DAY(EOMONTH(F99,0)),5)</f>
        <v>246.52918</v>
      </c>
      <c r="AB99" s="45">
        <f>IF(G99&lt;D$1,E$1,IF(G99&gt;D$2,E$2,ROUND((VLOOKUP(YEAR(EDATE(G99,-2)),CPI!$A:$M,MONTH(EDATE(G99,-2))+1,FALSE)*(DAY(G99)-1)+VLOOKUP(YEAR(EDATE(G99,-3)),CPI!$A:$M,MONTH(EDATE(G99,-3))+1,FALSE)*(DAY(EOMONTH(G99,0))-DAY(G99)+1))/DAY(EOMONTH(G99,0)),5)))</f>
        <v>0</v>
      </c>
      <c r="AC99" s="60" t="str">
        <f t="shared" si="15"/>
        <v/>
      </c>
      <c r="AD99" s="46">
        <f t="shared" si="6"/>
        <v>20.809999999999995</v>
      </c>
      <c r="AE99" s="76">
        <f t="shared" si="102"/>
        <v>0</v>
      </c>
      <c r="AF99" s="71">
        <f t="shared" si="36"/>
        <v>1295.1600000000001</v>
      </c>
      <c r="AG99" s="71">
        <f t="shared" si="113"/>
        <v>3.15</v>
      </c>
      <c r="AH99" s="87">
        <f t="shared" ref="AH99:AH105" si="261">AF99+AG99</f>
        <v>1298.3100000000002</v>
      </c>
      <c r="AI99" s="115">
        <f t="shared" si="99"/>
        <v>71.78125</v>
      </c>
      <c r="AJ99" s="36">
        <f t="shared" si="104"/>
        <v>929.68203749999998</v>
      </c>
      <c r="AK99" s="37">
        <f t="shared" si="105"/>
        <v>932.83203749999996</v>
      </c>
      <c r="AN99" s="8">
        <v>43146</v>
      </c>
      <c r="AO99" s="4" t="b">
        <f t="shared" si="106"/>
        <v>1</v>
      </c>
    </row>
    <row r="100" spans="1:41" x14ac:dyDescent="0.3">
      <c r="A100" s="29">
        <v>1</v>
      </c>
      <c r="B100" s="7">
        <v>30</v>
      </c>
      <c r="C100" s="8">
        <v>54469</v>
      </c>
      <c r="D100" s="149">
        <f t="shared" si="100"/>
        <v>43511</v>
      </c>
      <c r="E100" s="150">
        <f>ROUND((VLOOKUP(YEAR(EDATE(D100,-2)),CPI!$A:$M,MONTH(EDATE(D100,-2))+1,FALSE)*(DAY(D100)-1)+VLOOKUP(YEAR(EDATE(D100,-3)),CPI!$A:$M,MONTH(EDATE(D100,-3))+1,FALSE)*(DAY(EOMONTH(D100,0))-DAY(D100)+1))/DAY(EOMONTH(D100,0)),5)</f>
        <v>251.63550000000001</v>
      </c>
      <c r="F100" s="30">
        <v>43524</v>
      </c>
      <c r="G100" s="31">
        <v>54469</v>
      </c>
      <c r="H100" s="32">
        <v>1000</v>
      </c>
      <c r="I100" s="33">
        <f t="shared" ref="I100:N105" si="262">IF(AND($F100&lt;I$3,I$3&lt;=$G100,MOD(MONTH($C100),6)=MOD(MONTH(I$3),6)),$H100*($A100/200),0)</f>
        <v>0</v>
      </c>
      <c r="J100" s="33">
        <f t="shared" si="262"/>
        <v>5</v>
      </c>
      <c r="K100" s="33">
        <f t="shared" si="262"/>
        <v>0</v>
      </c>
      <c r="L100" s="29">
        <f t="shared" si="262"/>
        <v>0</v>
      </c>
      <c r="M100" s="33">
        <f t="shared" si="262"/>
        <v>5</v>
      </c>
      <c r="N100" s="34">
        <f t="shared" si="262"/>
        <v>0</v>
      </c>
      <c r="O100" s="34">
        <f t="shared" si="259"/>
        <v>10</v>
      </c>
      <c r="P100" s="35">
        <f t="shared" si="251"/>
        <v>0</v>
      </c>
      <c r="Q100" s="36">
        <f t="shared" si="251"/>
        <v>6.27</v>
      </c>
      <c r="R100" s="37">
        <f t="shared" si="251"/>
        <v>0</v>
      </c>
      <c r="S100" s="35">
        <f t="shared" si="251"/>
        <v>0</v>
      </c>
      <c r="T100" s="36">
        <f t="shared" si="251"/>
        <v>0</v>
      </c>
      <c r="U100" s="37">
        <f t="shared" si="251"/>
        <v>0</v>
      </c>
      <c r="V100" s="36">
        <f t="shared" si="260"/>
        <v>6.27</v>
      </c>
      <c r="W100" s="42">
        <f t="shared" si="255"/>
        <v>45658</v>
      </c>
      <c r="X100" s="43">
        <f t="shared" si="256"/>
        <v>45839</v>
      </c>
      <c r="Y100" s="44">
        <f>IF(W100=0,0,ROUND((VLOOKUP(YEAR(EDATE(W100,-2)),CPI!$A:$M,MONTH(EDATE(W100,-2))+1,FALSE)*(DAY(W100)-1)+VLOOKUP(YEAR(EDATE(W100,-3)),CPI!$A:$M,MONTH(EDATE(W100,-3))+1,FALSE)*(DAY(EOMONTH(W100,0))-DAY(W100)+1))/DAY(EOMONTH(W100,0)),5))</f>
        <v>315.66399999999999</v>
      </c>
      <c r="Z100" s="44">
        <f>IF(X100=0,0,ROUND((VLOOKUP(YEAR(EDATE(X100,-2)),CPI!$A:$M,MONTH(EDATE(X100,-2))+1,FALSE)*(DAY(X100)-1)+VLOOKUP(YEAR(EDATE(X100,-3)),CPI!$A:$M,MONTH(EDATE(X100,-3))+1,FALSE)*(DAY(EOMONTH(X100,0))-DAY(X100)+1))/DAY(EOMONTH(X100,0)),5))</f>
        <v>320.79500000000002</v>
      </c>
      <c r="AA100" s="44">
        <f>ROUND((VLOOKUP(YEAR(EDATE(F100,-2)),CPI!$A:$M,MONTH(EDATE(F100,-2))+1,FALSE)*(DAY(F100)-1)+VLOOKUP(YEAR(EDATE(F100,-3)),CPI!$A:$M,MONTH(EDATE(F100,-3))+1,FALSE)*(DAY(EOMONTH(F100,0))-DAY(F100)+1))/DAY(EOMONTH(F100,0)),5)</f>
        <v>251.26175000000001</v>
      </c>
      <c r="AB100" s="45">
        <f>IF(G100&lt;D$1,E$1,IF(G100&gt;D$2,E$2,ROUND((VLOOKUP(YEAR(EDATE(G100,-2)),CPI!$A:$M,MONTH(EDATE(G100,-2))+1,FALSE)*(DAY(G100)-1)+VLOOKUP(YEAR(EDATE(G100,-3)),CPI!$A:$M,MONTH(EDATE(G100,-3))+1,FALSE)*(DAY(EOMONTH(G100,0))-DAY(G100)+1))/DAY(EOMONTH(G100,0)),5)))</f>
        <v>0</v>
      </c>
      <c r="AC100" s="60" t="str">
        <f t="shared" si="15"/>
        <v/>
      </c>
      <c r="AD100" s="46">
        <f t="shared" si="6"/>
        <v>20.389999999999908</v>
      </c>
      <c r="AE100" s="76">
        <f t="shared" si="102"/>
        <v>0</v>
      </c>
      <c r="AF100" s="36">
        <f t="shared" si="36"/>
        <v>1269.23</v>
      </c>
      <c r="AG100" s="36">
        <f t="shared" si="113"/>
        <v>3.09</v>
      </c>
      <c r="AH100" s="87">
        <f t="shared" si="261"/>
        <v>1272.32</v>
      </c>
      <c r="AI100" s="115">
        <f t="shared" si="99"/>
        <v>70.812500000000014</v>
      </c>
      <c r="AJ100" s="36">
        <f t="shared" si="104"/>
        <v>898.77349375000017</v>
      </c>
      <c r="AK100" s="37">
        <f t="shared" si="105"/>
        <v>901.8634937500002</v>
      </c>
      <c r="AN100" s="8">
        <v>43511</v>
      </c>
      <c r="AO100" s="4" t="b">
        <f t="shared" si="106"/>
        <v>1</v>
      </c>
    </row>
    <row r="101" spans="1:41" x14ac:dyDescent="0.3">
      <c r="A101" s="29">
        <v>0.25</v>
      </c>
      <c r="B101" s="7">
        <v>30</v>
      </c>
      <c r="C101" s="8">
        <v>54834</v>
      </c>
      <c r="D101" s="149">
        <f t="shared" si="100"/>
        <v>43876</v>
      </c>
      <c r="E101" s="150">
        <f>ROUND((VLOOKUP(YEAR(EDATE(D101,-2)),CPI!$A:$M,MONTH(EDATE(D101,-2))+1,FALSE)*(DAY(D101)-1)+VLOOKUP(YEAR(EDATE(D101,-3)),CPI!$A:$M,MONTH(EDATE(D101,-3))+1,FALSE)*(DAY(EOMONTH(D101,0))-DAY(D101)+1))/DAY(EOMONTH(D101,0)),5)</f>
        <v>257.09503000000001</v>
      </c>
      <c r="F101" s="30">
        <v>43889</v>
      </c>
      <c r="G101" s="31">
        <v>54834</v>
      </c>
      <c r="H101" s="32">
        <v>1000</v>
      </c>
      <c r="I101" s="33">
        <f t="shared" si="262"/>
        <v>0</v>
      </c>
      <c r="J101" s="33">
        <f t="shared" si="262"/>
        <v>1.25</v>
      </c>
      <c r="K101" s="33">
        <f t="shared" si="262"/>
        <v>0</v>
      </c>
      <c r="L101" s="29">
        <f t="shared" si="262"/>
        <v>0</v>
      </c>
      <c r="M101" s="33">
        <f t="shared" si="262"/>
        <v>1.25</v>
      </c>
      <c r="N101" s="34">
        <f t="shared" si="262"/>
        <v>0</v>
      </c>
      <c r="O101" s="34">
        <f t="shared" si="259"/>
        <v>2.5</v>
      </c>
      <c r="P101" s="35">
        <f t="shared" si="251"/>
        <v>0</v>
      </c>
      <c r="Q101" s="36">
        <f t="shared" si="251"/>
        <v>1.53</v>
      </c>
      <c r="R101" s="37">
        <f t="shared" si="251"/>
        <v>0</v>
      </c>
      <c r="S101" s="35">
        <f t="shared" si="251"/>
        <v>0</v>
      </c>
      <c r="T101" s="36">
        <f t="shared" si="251"/>
        <v>0</v>
      </c>
      <c r="U101" s="37">
        <f t="shared" si="251"/>
        <v>0</v>
      </c>
      <c r="V101" s="36">
        <f t="shared" si="260"/>
        <v>1.53</v>
      </c>
      <c r="W101" s="42">
        <f t="shared" si="255"/>
        <v>45658</v>
      </c>
      <c r="X101" s="43">
        <f t="shared" si="256"/>
        <v>45839</v>
      </c>
      <c r="Y101" s="44">
        <f>IF(W101=0,0,ROUND((VLOOKUP(YEAR(EDATE(W101,-2)),CPI!$A:$M,MONTH(EDATE(W101,-2))+1,FALSE)*(DAY(W101)-1)+VLOOKUP(YEAR(EDATE(W101,-3)),CPI!$A:$M,MONTH(EDATE(W101,-3))+1,FALSE)*(DAY(EOMONTH(W101,0))-DAY(W101)+1))/DAY(EOMONTH(W101,0)),5))</f>
        <v>315.66399999999999</v>
      </c>
      <c r="Z101" s="44">
        <f>IF(X101=0,0,ROUND((VLOOKUP(YEAR(EDATE(X101,-2)),CPI!$A:$M,MONTH(EDATE(X101,-2))+1,FALSE)*(DAY(X101)-1)+VLOOKUP(YEAR(EDATE(X101,-3)),CPI!$A:$M,MONTH(EDATE(X101,-3))+1,FALSE)*(DAY(EOMONTH(X101,0))-DAY(X101)+1))/DAY(EOMONTH(X101,0)),5))</f>
        <v>320.79500000000002</v>
      </c>
      <c r="AA101" s="44">
        <f>ROUND((VLOOKUP(YEAR(EDATE(F101,-2)),CPI!$A:$M,MONTH(EDATE(F101,-2))+1,FALSE)*(DAY(F101)-1)+VLOOKUP(YEAR(EDATE(F101,-3)),CPI!$A:$M,MONTH(EDATE(F101,-3))+1,FALSE)*(DAY(EOMONTH(F101,0))-DAY(F101)+1))/DAY(EOMONTH(F101,0)),5)</f>
        <v>256.99014</v>
      </c>
      <c r="AB101" s="45">
        <f>IF(G101&lt;D$1,E$1,IF(G101&gt;D$2,E$2,ROUND((VLOOKUP(YEAR(EDATE(G101,-2)),CPI!$A:$M,MONTH(EDATE(G101,-2))+1,FALSE)*(DAY(G101)-1)+VLOOKUP(YEAR(EDATE(G101,-3)),CPI!$A:$M,MONTH(EDATE(G101,-3))+1,FALSE)*(DAY(EOMONTH(G101,0))-DAY(G101)+1))/DAY(EOMONTH(G101,0)),5)))</f>
        <v>0</v>
      </c>
      <c r="AC101" s="60" t="str">
        <f t="shared" si="15"/>
        <v/>
      </c>
      <c r="AD101" s="46">
        <f t="shared" si="6"/>
        <v>19.95999999999998</v>
      </c>
      <c r="AE101" s="76">
        <f t="shared" si="102"/>
        <v>0</v>
      </c>
      <c r="AF101" s="36">
        <f t="shared" si="36"/>
        <v>1242.27</v>
      </c>
      <c r="AG101" s="36">
        <f t="shared" si="113"/>
        <v>0.75</v>
      </c>
      <c r="AH101" s="87">
        <f t="shared" si="261"/>
        <v>1243.02</v>
      </c>
      <c r="AI101" s="115">
        <f t="shared" si="99"/>
        <v>56.312500000000007</v>
      </c>
      <c r="AJ101" s="36">
        <f t="shared" si="104"/>
        <v>699.55329375000008</v>
      </c>
      <c r="AK101" s="37">
        <f t="shared" si="105"/>
        <v>700.30329375000008</v>
      </c>
      <c r="AN101" s="8">
        <v>43876</v>
      </c>
      <c r="AO101" s="4" t="b">
        <f t="shared" si="106"/>
        <v>1</v>
      </c>
    </row>
    <row r="102" spans="1:41" x14ac:dyDescent="0.3">
      <c r="A102" s="29">
        <v>0.125</v>
      </c>
      <c r="B102" s="7">
        <v>30</v>
      </c>
      <c r="C102" s="8">
        <v>55199</v>
      </c>
      <c r="D102" s="149">
        <f t="shared" si="100"/>
        <v>44242</v>
      </c>
      <c r="E102" s="150">
        <f>ROUND((VLOOKUP(YEAR(EDATE(D102,-2)),CPI!$A:$M,MONTH(EDATE(D102,-2))+1,FALSE)*(DAY(D102)-1)+VLOOKUP(YEAR(EDATE(D102,-3)),CPI!$A:$M,MONTH(EDATE(D102,-3))+1,FALSE)*(DAY(EOMONTH(D102,0))-DAY(D102)+1))/DAY(EOMONTH(D102,0)),5)</f>
        <v>260.35149999999999</v>
      </c>
      <c r="F102" s="30">
        <v>44253</v>
      </c>
      <c r="G102" s="31">
        <v>55199</v>
      </c>
      <c r="H102" s="32">
        <v>1000</v>
      </c>
      <c r="I102" s="33">
        <f t="shared" si="262"/>
        <v>0</v>
      </c>
      <c r="J102" s="33">
        <f t="shared" si="262"/>
        <v>0.625</v>
      </c>
      <c r="K102" s="33">
        <f t="shared" si="262"/>
        <v>0</v>
      </c>
      <c r="L102" s="29">
        <f t="shared" si="262"/>
        <v>0</v>
      </c>
      <c r="M102" s="33">
        <f t="shared" si="262"/>
        <v>0.625</v>
      </c>
      <c r="N102" s="34">
        <f t="shared" si="262"/>
        <v>0</v>
      </c>
      <c r="O102" s="34">
        <f t="shared" ref="O102" si="263">SUM(I102:N102)</f>
        <v>1.25</v>
      </c>
      <c r="P102" s="35">
        <f t="shared" si="251"/>
        <v>0</v>
      </c>
      <c r="Q102" s="36">
        <f t="shared" si="251"/>
        <v>0.76</v>
      </c>
      <c r="R102" s="37">
        <f t="shared" si="251"/>
        <v>0</v>
      </c>
      <c r="S102" s="35">
        <f t="shared" si="251"/>
        <v>0</v>
      </c>
      <c r="T102" s="36">
        <f t="shared" si="251"/>
        <v>0</v>
      </c>
      <c r="U102" s="37">
        <f t="shared" si="251"/>
        <v>0</v>
      </c>
      <c r="V102" s="36">
        <f t="shared" ref="V102" si="264">SUM(P102:U102)</f>
        <v>0.76</v>
      </c>
      <c r="W102" s="42">
        <f t="shared" si="255"/>
        <v>45658</v>
      </c>
      <c r="X102" s="43">
        <f t="shared" si="256"/>
        <v>45839</v>
      </c>
      <c r="Y102" s="44">
        <f>IF(W102=0,0,ROUND((VLOOKUP(YEAR(EDATE(W102,-2)),CPI!$A:$M,MONTH(EDATE(W102,-2))+1,FALSE)*(DAY(W102)-1)+VLOOKUP(YEAR(EDATE(W102,-3)),CPI!$A:$M,MONTH(EDATE(W102,-3))+1,FALSE)*(DAY(EOMONTH(W102,0))-DAY(W102)+1))/DAY(EOMONTH(W102,0)),5))</f>
        <v>315.66399999999999</v>
      </c>
      <c r="Z102" s="44">
        <f>IF(X102=0,0,ROUND((VLOOKUP(YEAR(EDATE(X102,-2)),CPI!$A:$M,MONTH(EDATE(X102,-2))+1,FALSE)*(DAY(X102)-1)+VLOOKUP(YEAR(EDATE(X102,-3)),CPI!$A:$M,MONTH(EDATE(X102,-3))+1,FALSE)*(DAY(EOMONTH(X102,0))-DAY(X102)+1))/DAY(EOMONTH(X102,0)),5))</f>
        <v>320.79500000000002</v>
      </c>
      <c r="AA102" s="44">
        <f>ROUND((VLOOKUP(YEAR(EDATE(F102,-2)),CPI!$A:$M,MONTH(EDATE(F102,-2))+1,FALSE)*(DAY(F102)-1)+VLOOKUP(YEAR(EDATE(F102,-3)),CPI!$A:$M,MONTH(EDATE(F102,-3))+1,FALSE)*(DAY(EOMONTH(F102,0))-DAY(F102)+1))/DAY(EOMONTH(F102,0)),5)</f>
        <v>260.44774999999998</v>
      </c>
      <c r="AB102" s="45">
        <f>IF(G102&lt;D$1,E$1,IF(G102&gt;D$2,E$2,ROUND((VLOOKUP(YEAR(EDATE(G102,-2)),CPI!$A:$M,MONTH(EDATE(G102,-2))+1,FALSE)*(DAY(G102)-1)+VLOOKUP(YEAR(EDATE(G102,-3)),CPI!$A:$M,MONTH(EDATE(G102,-3))+1,FALSE)*(DAY(EOMONTH(G102,0))-DAY(G102)+1))/DAY(EOMONTH(G102,0)),5)))</f>
        <v>0</v>
      </c>
      <c r="AC102" s="60" t="str">
        <f t="shared" si="15"/>
        <v/>
      </c>
      <c r="AD102" s="46">
        <f t="shared" si="6"/>
        <v>19.709999999999894</v>
      </c>
      <c r="AE102" s="76">
        <f t="shared" si="102"/>
        <v>0</v>
      </c>
      <c r="AF102" s="36">
        <f t="shared" si="36"/>
        <v>1226.74</v>
      </c>
      <c r="AG102" s="36">
        <f t="shared" si="113"/>
        <v>0.37</v>
      </c>
      <c r="AH102" s="87">
        <f t="shared" si="261"/>
        <v>1227.1099999999999</v>
      </c>
      <c r="AI102" s="115">
        <f t="shared" si="99"/>
        <v>52.812499999999993</v>
      </c>
      <c r="AJ102" s="36">
        <f t="shared" si="104"/>
        <v>647.87206249999997</v>
      </c>
      <c r="AK102" s="37">
        <f t="shared" si="105"/>
        <v>648.24206249999997</v>
      </c>
      <c r="AN102" s="8">
        <v>44242</v>
      </c>
      <c r="AO102" s="4" t="b">
        <f t="shared" si="106"/>
        <v>1</v>
      </c>
    </row>
    <row r="103" spans="1:41" x14ac:dyDescent="0.3">
      <c r="A103" s="33">
        <v>0.125</v>
      </c>
      <c r="B103" s="7">
        <v>30</v>
      </c>
      <c r="C103" s="8">
        <v>55564</v>
      </c>
      <c r="D103" s="149">
        <f t="shared" si="100"/>
        <v>44607</v>
      </c>
      <c r="E103" s="151">
        <f>ROUND((VLOOKUP(YEAR(EDATE(D103,-2)),CPI!$A:$M,MONTH(EDATE(D103,-2))+1,FALSE)*(DAY(D103)-1)+VLOOKUP(YEAR(EDATE(D103,-3)),CPI!$A:$M,MONTH(EDATE(D103,-3))+1,FALSE)*(DAY(EOMONTH(D103,0))-DAY(D103)+1))/DAY(EOMONTH(D103,0)),5)</f>
        <v>278.375</v>
      </c>
      <c r="F103" s="31">
        <v>44620</v>
      </c>
      <c r="G103" s="31">
        <v>55564</v>
      </c>
      <c r="H103" s="32">
        <v>1000</v>
      </c>
      <c r="I103" s="101">
        <f t="shared" si="262"/>
        <v>0</v>
      </c>
      <c r="J103" s="101">
        <f t="shared" si="262"/>
        <v>0.625</v>
      </c>
      <c r="K103" s="101">
        <f t="shared" si="262"/>
        <v>0</v>
      </c>
      <c r="L103" s="101">
        <f t="shared" si="262"/>
        <v>0</v>
      </c>
      <c r="M103" s="101">
        <f t="shared" si="262"/>
        <v>0.625</v>
      </c>
      <c r="N103" s="101">
        <f t="shared" si="262"/>
        <v>0</v>
      </c>
      <c r="O103" s="101">
        <f t="shared" ref="O103:O105" si="265">SUM(I103:N103)</f>
        <v>1.25</v>
      </c>
      <c r="P103" s="35">
        <f t="shared" si="251"/>
        <v>0</v>
      </c>
      <c r="Q103" s="36">
        <f t="shared" si="251"/>
        <v>0.71</v>
      </c>
      <c r="R103" s="37">
        <f t="shared" si="251"/>
        <v>0</v>
      </c>
      <c r="S103" s="35">
        <f t="shared" si="251"/>
        <v>0</v>
      </c>
      <c r="T103" s="36">
        <f t="shared" si="251"/>
        <v>0</v>
      </c>
      <c r="U103" s="37">
        <f t="shared" si="251"/>
        <v>0</v>
      </c>
      <c r="V103" s="35">
        <f t="shared" ref="V103" si="266">SUM(P103:U103)</f>
        <v>0.71</v>
      </c>
      <c r="W103" s="42">
        <f t="shared" si="255"/>
        <v>45658</v>
      </c>
      <c r="X103" s="43">
        <f t="shared" si="256"/>
        <v>45839</v>
      </c>
      <c r="Y103" s="44">
        <f>IF(W103=0,0,ROUND((VLOOKUP(YEAR(EDATE(W103,-2)),CPI!$A:$M,MONTH(EDATE(W103,-2))+1,FALSE)*(DAY(W103)-1)+VLOOKUP(YEAR(EDATE(W103,-3)),CPI!$A:$M,MONTH(EDATE(W103,-3))+1,FALSE)*(DAY(EOMONTH(W103,0))-DAY(W103)+1))/DAY(EOMONTH(W103,0)),5))</f>
        <v>315.66399999999999</v>
      </c>
      <c r="Z103" s="44">
        <f>IF(X103=0,0,ROUND((VLOOKUP(YEAR(EDATE(X103,-2)),CPI!$A:$M,MONTH(EDATE(X103,-2))+1,FALSE)*(DAY(X103)-1)+VLOOKUP(YEAR(EDATE(X103,-3)),CPI!$A:$M,MONTH(EDATE(X103,-3))+1,FALSE)*(DAY(EOMONTH(X103,0))-DAY(X103)+1))/DAY(EOMONTH(X103,0)),5))</f>
        <v>320.79500000000002</v>
      </c>
      <c r="AA103" s="44">
        <f>ROUND((VLOOKUP(YEAR(EDATE(F103,-2)),CPI!$A:$M,MONTH(EDATE(F103,-2))+1,FALSE)*(DAY(F103)-1)+VLOOKUP(YEAR(EDATE(F103,-3)),CPI!$A:$M,MONTH(EDATE(F103,-3))+1,FALSE)*(DAY(EOMONTH(F103,0))-DAY(F103)+1))/DAY(EOMONTH(F103,0)),5)</f>
        <v>278.7715</v>
      </c>
      <c r="AB103" s="45">
        <f>IF(G103&lt;D$1,E$1,IF(G103&gt;D$2,E$2,ROUND((VLOOKUP(YEAR(EDATE(G103,-2)),CPI!$A:$M,MONTH(EDATE(G103,-2))+1,FALSE)*(DAY(G103)-1)+VLOOKUP(YEAR(EDATE(G103,-3)),CPI!$A:$M,MONTH(EDATE(G103,-3))+1,FALSE)*(DAY(EOMONTH(G103,0))-DAY(G103)+1))/DAY(EOMONTH(G103,0)),5)))</f>
        <v>0</v>
      </c>
      <c r="AC103" s="60" t="str">
        <f t="shared" si="15"/>
        <v/>
      </c>
      <c r="AD103" s="86">
        <f t="shared" si="6"/>
        <v>18.429999999999946</v>
      </c>
      <c r="AE103" s="37">
        <f t="shared" si="102"/>
        <v>0</v>
      </c>
      <c r="AF103" s="35">
        <f t="shared" si="36"/>
        <v>1147.31</v>
      </c>
      <c r="AG103" s="36">
        <f>IF(AND(F103&lt;=AH$2,AH$2&lt;C103),ROUND(AF103*(A103/200)*COUPDAYBS(AH$2,C103,2,1)/COUPDAYS(AH$2,C103,2,1),2),0)</f>
        <v>0.35</v>
      </c>
      <c r="AH103" s="87">
        <f t="shared" si="261"/>
        <v>1147.6599999999999</v>
      </c>
      <c r="AI103" s="115">
        <f t="shared" si="99"/>
        <v>51.78125</v>
      </c>
      <c r="AJ103" s="36">
        <f t="shared" si="104"/>
        <v>594.091459375</v>
      </c>
      <c r="AK103" s="37">
        <f t="shared" si="105"/>
        <v>594.44145937500002</v>
      </c>
      <c r="AN103" s="8">
        <v>44607</v>
      </c>
      <c r="AO103" s="4" t="b">
        <f t="shared" si="106"/>
        <v>1</v>
      </c>
    </row>
    <row r="104" spans="1:41" x14ac:dyDescent="0.3">
      <c r="A104" s="29">
        <v>1.5</v>
      </c>
      <c r="B104" s="7">
        <v>30</v>
      </c>
      <c r="C104" s="8">
        <v>55930</v>
      </c>
      <c r="D104" s="149">
        <f t="shared" si="100"/>
        <v>44972</v>
      </c>
      <c r="E104" s="150">
        <f>ROUND((VLOOKUP(YEAR(EDATE(D104,-2)),CPI!$A:$M,MONTH(EDATE(D104,-2))+1,FALSE)*(DAY(D104)-1)+VLOOKUP(YEAR(EDATE(D104,-3)),CPI!$A:$M,MONTH(EDATE(D104,-3))+1,FALSE)*(DAY(EOMONTH(D104,0))-DAY(D104)+1))/DAY(EOMONTH(D104,0)),5)</f>
        <v>297.25400000000002</v>
      </c>
      <c r="F104" s="30">
        <v>44985</v>
      </c>
      <c r="G104" s="31">
        <v>55930</v>
      </c>
      <c r="H104" s="32">
        <v>1000</v>
      </c>
      <c r="I104" s="33">
        <f t="shared" si="262"/>
        <v>0</v>
      </c>
      <c r="J104" s="33">
        <f t="shared" si="262"/>
        <v>7.5</v>
      </c>
      <c r="K104" s="33">
        <f t="shared" si="262"/>
        <v>0</v>
      </c>
      <c r="L104" s="29">
        <f t="shared" si="262"/>
        <v>0</v>
      </c>
      <c r="M104" s="33">
        <f t="shared" si="262"/>
        <v>7.5</v>
      </c>
      <c r="N104" s="34">
        <f t="shared" si="262"/>
        <v>0</v>
      </c>
      <c r="O104" s="101">
        <f t="shared" si="265"/>
        <v>15</v>
      </c>
      <c r="P104" s="35">
        <f t="shared" si="251"/>
        <v>0</v>
      </c>
      <c r="Q104" s="36">
        <f t="shared" si="251"/>
        <v>7.96</v>
      </c>
      <c r="R104" s="37">
        <f t="shared" si="251"/>
        <v>0</v>
      </c>
      <c r="S104" s="35">
        <f t="shared" si="251"/>
        <v>0</v>
      </c>
      <c r="T104" s="36">
        <f t="shared" si="251"/>
        <v>0</v>
      </c>
      <c r="U104" s="37">
        <f t="shared" si="251"/>
        <v>0</v>
      </c>
      <c r="V104" s="36">
        <f t="shared" ref="V104" si="267">SUM(P104:U104)</f>
        <v>7.96</v>
      </c>
      <c r="W104" s="42">
        <f t="shared" si="255"/>
        <v>45658</v>
      </c>
      <c r="X104" s="43">
        <f t="shared" si="256"/>
        <v>45839</v>
      </c>
      <c r="Y104" s="44">
        <f>IF(W104=0,0,ROUND((VLOOKUP(YEAR(EDATE(W104,-2)),CPI!$A:$M,MONTH(EDATE(W104,-2))+1,FALSE)*(DAY(W104)-1)+VLOOKUP(YEAR(EDATE(W104,-3)),CPI!$A:$M,MONTH(EDATE(W104,-3))+1,FALSE)*(DAY(EOMONTH(W104,0))-DAY(W104)+1))/DAY(EOMONTH(W104,0)),5))</f>
        <v>315.66399999999999</v>
      </c>
      <c r="Z104" s="44">
        <f>IF(X104=0,0,ROUND((VLOOKUP(YEAR(EDATE(X104,-2)),CPI!$A:$M,MONTH(EDATE(X104,-2))+1,FALSE)*(DAY(X104)-1)+VLOOKUP(YEAR(EDATE(X104,-3)),CPI!$A:$M,MONTH(EDATE(X104,-3))+1,FALSE)*(DAY(EOMONTH(X104,0))-DAY(X104)+1))/DAY(EOMONTH(X104,0)),5))</f>
        <v>320.79500000000002</v>
      </c>
      <c r="AA104" s="44">
        <f>ROUND((VLOOKUP(YEAR(EDATE(F104,-2)),CPI!$A:$M,MONTH(EDATE(F104,-2))+1,FALSE)*(DAY(F104)-1)+VLOOKUP(YEAR(EDATE(F104,-3)),CPI!$A:$M,MONTH(EDATE(F104,-3))+1,FALSE)*(DAY(EOMONTH(F104,0))-DAY(F104)+1))/DAY(EOMONTH(F104,0)),5)</f>
        <v>296.82963999999998</v>
      </c>
      <c r="AB104" s="45">
        <f>IF(G104&lt;D$1,E$1,IF(G104&gt;D$2,E$2,ROUND((VLOOKUP(YEAR(EDATE(G104,-2)),CPI!$A:$M,MONTH(EDATE(G104,-2))+1,FALSE)*(DAY(G104)-1)+VLOOKUP(YEAR(EDATE(G104,-3)),CPI!$A:$M,MONTH(EDATE(G104,-3))+1,FALSE)*(DAY(EOMONTH(G104,0))-DAY(G104)+1))/DAY(EOMONTH(G104,0)),5)))</f>
        <v>0</v>
      </c>
      <c r="AC104" s="60" t="str">
        <f t="shared" si="15"/>
        <v/>
      </c>
      <c r="AD104" s="46">
        <f t="shared" si="6"/>
        <v>17.260000000000055</v>
      </c>
      <c r="AE104" s="76">
        <f t="shared" si="102"/>
        <v>0</v>
      </c>
      <c r="AF104" s="36">
        <f t="shared" ref="AF104:AF105" si="268">IF(AND(F104&lt;=AH$2,AH$2&lt;=G104),ROUND(ROUND(AH$1/E104,5)*H104,2),0)</f>
        <v>1074.44</v>
      </c>
      <c r="AG104" s="36">
        <f>IF(AND(F104&lt;=AH$2,AH$2&lt;C104),ROUND(AF104*(A104/200)*COUPDAYBS(AH$2,C104,2,1)/COUPDAYS(AH$2,C104,2,1),2),0)</f>
        <v>3.92</v>
      </c>
      <c r="AH104" s="87">
        <f t="shared" si="261"/>
        <v>1078.3600000000001</v>
      </c>
      <c r="AI104" s="115">
        <f t="shared" ref="AI104:AI105" si="269">IF(AND(F104&lt;=AH$2,AH$2&lt;=G104),VLOOKUP(TEXT(C104,"yyyy-mmdd")&amp;"-"&amp;TEXT(A104,"0.000"),wsj_quotes,10,FALSE),0)</f>
        <v>77.125000000000014</v>
      </c>
      <c r="AJ104" s="36">
        <f t="shared" ref="AJ104:AJ105" si="270">AF104*(AI104/100)</f>
        <v>828.66185000000019</v>
      </c>
      <c r="AK104" s="37">
        <f t="shared" ref="AK104:AK105" si="271">AJ104+AG104</f>
        <v>832.58185000000014</v>
      </c>
      <c r="AN104" s="8">
        <v>44972</v>
      </c>
      <c r="AO104" s="4" t="b">
        <f t="shared" si="106"/>
        <v>1</v>
      </c>
    </row>
    <row r="105" spans="1:41" x14ac:dyDescent="0.3">
      <c r="A105" s="29">
        <v>2.125</v>
      </c>
      <c r="B105" s="7">
        <v>30</v>
      </c>
      <c r="C105" s="8">
        <v>56295</v>
      </c>
      <c r="D105" s="149">
        <f t="shared" si="100"/>
        <v>45337</v>
      </c>
      <c r="E105" s="150">
        <f>ROUND((VLOOKUP(YEAR(EDATE(D105,-2)),CPI!$A:$M,MONTH(EDATE(D105,-2))+1,FALSE)*(DAY(D105)-1)+VLOOKUP(YEAR(EDATE(D105,-3)),CPI!$A:$M,MONTH(EDATE(D105,-3))+1,FALSE)*(DAY(EOMONTH(D105,0))-DAY(D105)+1))/DAY(EOMONTH(D105,0)),5)</f>
        <v>306.90375999999998</v>
      </c>
      <c r="F105" s="30">
        <v>45351</v>
      </c>
      <c r="G105" s="31">
        <v>56295</v>
      </c>
      <c r="H105" s="32">
        <v>1000</v>
      </c>
      <c r="I105" s="33">
        <f t="shared" si="262"/>
        <v>0</v>
      </c>
      <c r="J105" s="33">
        <f t="shared" si="262"/>
        <v>10.625</v>
      </c>
      <c r="K105" s="33">
        <f t="shared" si="262"/>
        <v>0</v>
      </c>
      <c r="L105" s="29">
        <f t="shared" si="262"/>
        <v>0</v>
      </c>
      <c r="M105" s="33">
        <f t="shared" si="262"/>
        <v>10.625</v>
      </c>
      <c r="N105" s="34">
        <f t="shared" si="262"/>
        <v>0</v>
      </c>
      <c r="O105" s="34">
        <f t="shared" si="265"/>
        <v>21.25</v>
      </c>
      <c r="P105" s="35">
        <f t="shared" si="251"/>
        <v>0</v>
      </c>
      <c r="Q105" s="36">
        <f t="shared" si="251"/>
        <v>10.92</v>
      </c>
      <c r="R105" s="37">
        <f t="shared" si="251"/>
        <v>0</v>
      </c>
      <c r="S105" s="35">
        <f t="shared" si="251"/>
        <v>0</v>
      </c>
      <c r="T105" s="36">
        <f t="shared" si="251"/>
        <v>0</v>
      </c>
      <c r="U105" s="37">
        <f t="shared" si="251"/>
        <v>0</v>
      </c>
      <c r="V105" s="36">
        <f t="shared" ref="V105" si="272">SUM(P105:U105)</f>
        <v>10.92</v>
      </c>
      <c r="W105" s="42">
        <f t="shared" si="255"/>
        <v>45658</v>
      </c>
      <c r="X105" s="43">
        <f t="shared" si="256"/>
        <v>45839</v>
      </c>
      <c r="Y105" s="44">
        <f>IF(W105=0,0,ROUND((VLOOKUP(YEAR(EDATE(W105,-2)),CPI!$A:$M,MONTH(EDATE(W105,-2))+1,FALSE)*(DAY(W105)-1)+VLOOKUP(YEAR(EDATE(W105,-3)),CPI!$A:$M,MONTH(EDATE(W105,-3))+1,FALSE)*(DAY(EOMONTH(W105,0))-DAY(W105)+1))/DAY(EOMONTH(W105,0)),5))</f>
        <v>315.66399999999999</v>
      </c>
      <c r="Z105" s="44">
        <f>IF(X105=0,0,ROUND((VLOOKUP(YEAR(EDATE(X105,-2)),CPI!$A:$M,MONTH(EDATE(X105,-2))+1,FALSE)*(DAY(X105)-1)+VLOOKUP(YEAR(EDATE(X105,-3)),CPI!$A:$M,MONTH(EDATE(X105,-3))+1,FALSE)*(DAY(EOMONTH(X105,0))-DAY(X105)+1))/DAY(EOMONTH(X105,0)),5))</f>
        <v>320.79500000000002</v>
      </c>
      <c r="AA105" s="44">
        <f>ROUND((VLOOKUP(YEAR(EDATE(F105,-2)),CPI!$A:$M,MONTH(EDATE(F105,-2))+1,FALSE)*(DAY(F105)-1)+VLOOKUP(YEAR(EDATE(F105,-3)),CPI!$A:$M,MONTH(EDATE(F105,-3))+1,FALSE)*(DAY(EOMONTH(F105,0))-DAY(F105)+1))/DAY(EOMONTH(F105,0)),5)</f>
        <v>306.75652000000002</v>
      </c>
      <c r="AB105" s="45">
        <f>IF(G105&lt;D$1,E$1,IF(G105&gt;D$2,E$2,ROUND((VLOOKUP(YEAR(EDATE(G105,-2)),CPI!$A:$M,MONTH(EDATE(G105,-2))+1,FALSE)*(DAY(G105)-1)+VLOOKUP(YEAR(EDATE(G105,-3)),CPI!$A:$M,MONTH(EDATE(G105,-3))+1,FALSE)*(DAY(EOMONTH(G105,0))-DAY(G105)+1))/DAY(EOMONTH(G105,0)),5)))</f>
        <v>0</v>
      </c>
      <c r="AC105" s="60" t="str">
        <f t="shared" si="15"/>
        <v/>
      </c>
      <c r="AD105" s="46">
        <f t="shared" si="6"/>
        <v>16.72000000000007</v>
      </c>
      <c r="AE105" s="76">
        <f t="shared" ref="AE105" si="273">IF(ISERROR(AB105),0,IF(AB105=0,0,H105*(ROUND(AB105/E105,5)-ROUND(AA105/E105,5))))</f>
        <v>0</v>
      </c>
      <c r="AF105" s="36">
        <f t="shared" si="268"/>
        <v>1040.6600000000001</v>
      </c>
      <c r="AG105" s="36">
        <f>IF(AND(F105&lt;=AH$2,AH$2&lt;C105),ROUND(AF105*(A105/200)*COUPDAYBS(AH$2,C105,2,1)/COUPDAYS(AH$2,C105,2,1),2),0)</f>
        <v>5.38</v>
      </c>
      <c r="AH105" s="87">
        <f t="shared" si="261"/>
        <v>1046.0400000000002</v>
      </c>
      <c r="AI105" s="115">
        <f t="shared" si="269"/>
        <v>89.125000000000014</v>
      </c>
      <c r="AJ105" s="36">
        <f t="shared" si="270"/>
        <v>927.48822500000017</v>
      </c>
      <c r="AK105" s="37">
        <f t="shared" si="271"/>
        <v>932.86822500000017</v>
      </c>
      <c r="AN105" s="8">
        <v>45337</v>
      </c>
      <c r="AO105" s="4" t="b">
        <f t="shared" si="106"/>
        <v>1</v>
      </c>
    </row>
    <row r="106" spans="1:41" x14ac:dyDescent="0.3">
      <c r="A106" s="47">
        <v>2.375</v>
      </c>
      <c r="B106" s="48">
        <v>30</v>
      </c>
      <c r="C106" s="49">
        <v>56660</v>
      </c>
      <c r="D106" s="152">
        <f t="shared" si="100"/>
        <v>45703</v>
      </c>
      <c r="E106" s="153">
        <f>ROUND((VLOOKUP(YEAR(EDATE(D106,-2)),CPI!$A:$M,MONTH(EDATE(D106,-2))+1,FALSE)*(DAY(D106)-1)+VLOOKUP(YEAR(EDATE(D106,-3)),CPI!$A:$M,MONTH(EDATE(D106,-3))+1,FALSE)*(DAY(EOMONTH(D106,0))-DAY(D106)+1))/DAY(EOMONTH(D106,0)),5)</f>
        <v>315.54899999999998</v>
      </c>
      <c r="F106" s="50">
        <v>45716</v>
      </c>
      <c r="G106" s="51">
        <v>56660</v>
      </c>
      <c r="H106" s="52">
        <v>1000</v>
      </c>
      <c r="I106" s="78">
        <f t="shared" si="34"/>
        <v>0</v>
      </c>
      <c r="J106" s="78">
        <f t="shared" si="34"/>
        <v>0</v>
      </c>
      <c r="K106" s="78">
        <f t="shared" si="34"/>
        <v>0</v>
      </c>
      <c r="L106" s="47">
        <f t="shared" si="34"/>
        <v>0</v>
      </c>
      <c r="M106" s="78">
        <f t="shared" si="34"/>
        <v>11.875</v>
      </c>
      <c r="N106" s="79">
        <f t="shared" si="34"/>
        <v>0</v>
      </c>
      <c r="O106" s="79">
        <f t="shared" si="23"/>
        <v>11.875</v>
      </c>
      <c r="P106" s="80">
        <f t="shared" si="24"/>
        <v>0</v>
      </c>
      <c r="Q106" s="81">
        <f t="shared" si="25"/>
        <v>0</v>
      </c>
      <c r="R106" s="82">
        <f t="shared" si="26"/>
        <v>0</v>
      </c>
      <c r="S106" s="80">
        <f t="shared" si="27"/>
        <v>0</v>
      </c>
      <c r="T106" s="81">
        <f t="shared" si="28"/>
        <v>0</v>
      </c>
      <c r="U106" s="82">
        <f t="shared" si="29"/>
        <v>0</v>
      </c>
      <c r="V106" s="81">
        <f t="shared" si="30"/>
        <v>0</v>
      </c>
      <c r="W106" s="53">
        <f t="shared" si="31"/>
        <v>45716</v>
      </c>
      <c r="X106" s="54">
        <f t="shared" si="32"/>
        <v>45839</v>
      </c>
      <c r="Y106" s="55">
        <f>IF(W106=0,0,ROUND((VLOOKUP(YEAR(EDATE(W106,-2)),CPI!$A:$M,MONTH(EDATE(W106,-2))+1,FALSE)*(DAY(W106)-1)+VLOOKUP(YEAR(EDATE(W106,-3)),CPI!$A:$M,MONTH(EDATE(W106,-3))+1,FALSE)*(DAY(EOMONTH(W106,0))-DAY(W106)+1))/DAY(EOMONTH(W106,0)),5))</f>
        <v>315.601</v>
      </c>
      <c r="Z106" s="55">
        <f>IF(X106=0,0,ROUND((VLOOKUP(YEAR(EDATE(X106,-2)),CPI!$A:$M,MONTH(EDATE(X106,-2))+1,FALSE)*(DAY(X106)-1)+VLOOKUP(YEAR(EDATE(X106,-3)),CPI!$A:$M,MONTH(EDATE(X106,-3))+1,FALSE)*(DAY(EOMONTH(X106,0))-DAY(X106)+1))/DAY(EOMONTH(X106,0)),5))</f>
        <v>320.79500000000002</v>
      </c>
      <c r="AA106" s="55">
        <f>ROUND((VLOOKUP(YEAR(EDATE(F106,-2)),CPI!$A:$M,MONTH(EDATE(F106,-2))+1,FALSE)*(DAY(F106)-1)+VLOOKUP(YEAR(EDATE(F106,-3)),CPI!$A:$M,MONTH(EDATE(F106,-3))+1,FALSE)*(DAY(EOMONTH(F106,0))-DAY(F106)+1))/DAY(EOMONTH(F106,0)),5)</f>
        <v>315.601</v>
      </c>
      <c r="AB106" s="56">
        <f>IF(G106&lt;D$1,E$1,IF(G106&gt;D$2,E$2,ROUND((VLOOKUP(YEAR(EDATE(G106,-2)),CPI!$A:$M,MONTH(EDATE(G106,-2))+1,FALSE)*(DAY(G106)-1)+VLOOKUP(YEAR(EDATE(G106,-3)),CPI!$A:$M,MONTH(EDATE(G106,-3))+1,FALSE)*(DAY(EOMONTH(G106,0))-DAY(G106)+1))/DAY(EOMONTH(G106,0)),5)))</f>
        <v>0</v>
      </c>
      <c r="AC106" s="128" t="str">
        <f t="shared" si="15"/>
        <v>02/28-07/01</v>
      </c>
      <c r="AD106" s="57">
        <f t="shared" si="6"/>
        <v>16.460000000000143</v>
      </c>
      <c r="AE106" s="77">
        <f t="shared" si="102"/>
        <v>0</v>
      </c>
      <c r="AF106" s="81">
        <f t="shared" ref="AF106" si="274">IF(AND(F106&lt;=AH$2,AH$2&lt;=G106),ROUND(ROUND(AH$1/E106,5)*H106,2),0)</f>
        <v>1012.15</v>
      </c>
      <c r="AG106" s="81">
        <f>IF(AND(F106&lt;=AH$2,AH$2&lt;C106),ROUND(AF106*(A106/200)*COUPDAYBS(AH$2,C106,2,1)/COUPDAYS(AH$2,C106,2,1),2),0)</f>
        <v>5.84</v>
      </c>
      <c r="AH106" s="114">
        <f t="shared" si="252"/>
        <v>1017.99</v>
      </c>
      <c r="AI106" s="116">
        <f t="shared" si="99"/>
        <v>94.09375</v>
      </c>
      <c r="AJ106" s="81">
        <f t="shared" si="104"/>
        <v>952.36989062499993</v>
      </c>
      <c r="AK106" s="82">
        <f t="shared" si="105"/>
        <v>958.20989062499996</v>
      </c>
      <c r="AN106" s="49">
        <v>45703</v>
      </c>
      <c r="AO106" s="4" t="b">
        <f t="shared" si="106"/>
        <v>1</v>
      </c>
    </row>
    <row r="107" spans="1:41" s="1" customFormat="1" x14ac:dyDescent="0.3">
      <c r="A107" s="102"/>
      <c r="B107" s="28"/>
      <c r="C107" s="103"/>
      <c r="D107" s="103"/>
      <c r="E107" s="104"/>
      <c r="F107" s="103"/>
      <c r="G107" s="103" t="s">
        <v>5</v>
      </c>
      <c r="H107" s="105">
        <f>SUM(H4:H106)</f>
        <v>103000</v>
      </c>
      <c r="I107" s="102">
        <f t="shared" ref="I107:V107" si="275">SUM(I4:I106)</f>
        <v>114.375</v>
      </c>
      <c r="J107" s="102">
        <f t="shared" si="275"/>
        <v>78.75</v>
      </c>
      <c r="K107" s="102">
        <f t="shared" si="275"/>
        <v>102.5</v>
      </c>
      <c r="L107" s="102">
        <f t="shared" si="275"/>
        <v>111.875</v>
      </c>
      <c r="M107" s="102">
        <f t="shared" si="275"/>
        <v>90.625</v>
      </c>
      <c r="N107" s="102">
        <f t="shared" si="275"/>
        <v>110</v>
      </c>
      <c r="O107" s="102">
        <f t="shared" si="275"/>
        <v>608.125</v>
      </c>
      <c r="P107" s="106">
        <f t="shared" si="275"/>
        <v>153.48999999999995</v>
      </c>
      <c r="Q107" s="106">
        <f t="shared" si="275"/>
        <v>101.62</v>
      </c>
      <c r="R107" s="106">
        <f t="shared" si="275"/>
        <v>154.03</v>
      </c>
      <c r="S107" s="106">
        <f t="shared" si="275"/>
        <v>0</v>
      </c>
      <c r="T107" s="106">
        <f t="shared" si="275"/>
        <v>0</v>
      </c>
      <c r="U107" s="106">
        <f t="shared" si="275"/>
        <v>0</v>
      </c>
      <c r="V107" s="106">
        <f t="shared" si="275"/>
        <v>409.14</v>
      </c>
      <c r="W107" s="107"/>
      <c r="X107" s="108"/>
      <c r="Y107" s="109"/>
      <c r="Z107" s="109"/>
      <c r="AA107" s="109"/>
      <c r="AB107" s="109"/>
      <c r="AC107" s="110"/>
      <c r="AD107" s="111">
        <f>SUM(AD4:AD106)</f>
        <v>1083.0799999999988</v>
      </c>
      <c r="AE107" s="106">
        <f>SUM(AE4:AE106)</f>
        <v>10483.699999999999</v>
      </c>
      <c r="AF107" s="106">
        <f t="shared" ref="AF107:AK107" si="276">SUM(AF4:AF106)</f>
        <v>67432.899999999994</v>
      </c>
      <c r="AG107" s="106">
        <f t="shared" si="276"/>
        <v>176.37000000000003</v>
      </c>
      <c r="AH107" s="106">
        <f t="shared" si="276"/>
        <v>67609.26999999999</v>
      </c>
      <c r="AI107" s="109"/>
      <c r="AJ107" s="106">
        <f t="shared" si="276"/>
        <v>61950.970571875012</v>
      </c>
      <c r="AK107" s="106">
        <f t="shared" si="276"/>
        <v>62127.340571875007</v>
      </c>
      <c r="AN107" s="103"/>
    </row>
  </sheetData>
  <sheetProtection sheet="1" formatCells="0" formatColumns="0" formatRows="0"/>
  <phoneticPr fontId="5" type="noConversion"/>
  <hyperlinks>
    <hyperlink ref="D3" r:id="rId1" display="http://web.me.com/rlhinkley/tips/int/tipsint_2011i.html" xr:uid="{00000000-0004-0000-0100-000000000000}"/>
    <hyperlink ref="AN3" r:id="rId2" display="http://web.me.com/rlhinkley/tips/int/tipsint_2011i.html" xr:uid="{FD36AF55-0D3E-4393-AD97-B21599765C6E}"/>
  </hyperlinks>
  <printOptions horizontalCentered="1"/>
  <pageMargins left="0.5" right="0.5" top="0.75" bottom="0.75" header="0.5" footer="0.5"/>
  <pageSetup scale="44" fitToHeight="2" orientation="landscape" r:id="rId3"/>
  <headerFooter alignWithMargins="0">
    <oddHeader>&amp;C&amp;"Arial,Bold"&amp;14TIPS Interest and OID for Year Shown Below</oddHeader>
    <oddFooter>&amp;Cprinted &amp;D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CFF6-EF51-4216-864A-BA90A46ABFBF}">
  <dimension ref="A1:L59"/>
  <sheetViews>
    <sheetView workbookViewId="0">
      <selection activeCell="C2" sqref="C2"/>
    </sheetView>
  </sheetViews>
  <sheetFormatPr defaultRowHeight="14.5" x14ac:dyDescent="0.35"/>
  <cols>
    <col min="1" max="1" width="15.54296875" style="98" customWidth="1"/>
    <col min="2" max="2" width="10.7265625" style="98" bestFit="1" customWidth="1"/>
    <col min="3" max="3" width="11.453125" style="98" customWidth="1"/>
    <col min="4" max="6" width="8.7265625" style="98"/>
    <col min="7" max="7" width="8.7265625" style="99"/>
    <col min="8" max="9" width="8.7265625" style="98"/>
    <col min="10" max="11" width="12" style="100" bestFit="1" customWidth="1"/>
    <col min="12" max="16384" width="8.7265625" style="98"/>
  </cols>
  <sheetData>
    <row r="1" spans="1:11" s="88" customFormat="1" x14ac:dyDescent="0.35">
      <c r="A1" s="88">
        <v>1</v>
      </c>
      <c r="B1" s="88">
        <f>A1+1</f>
        <v>2</v>
      </c>
      <c r="C1" s="88">
        <f t="shared" ref="C1:K1" si="0">B1+1</f>
        <v>3</v>
      </c>
      <c r="D1" s="88">
        <f t="shared" si="0"/>
        <v>4</v>
      </c>
      <c r="E1" s="88">
        <f t="shared" si="0"/>
        <v>5</v>
      </c>
      <c r="F1" s="88">
        <f t="shared" si="0"/>
        <v>6</v>
      </c>
      <c r="G1" s="89">
        <f t="shared" si="0"/>
        <v>7</v>
      </c>
      <c r="H1" s="88">
        <f t="shared" si="0"/>
        <v>8</v>
      </c>
      <c r="I1" s="88">
        <f t="shared" si="0"/>
        <v>9</v>
      </c>
      <c r="J1" s="88">
        <f t="shared" si="0"/>
        <v>10</v>
      </c>
      <c r="K1" s="88">
        <f t="shared" si="0"/>
        <v>11</v>
      </c>
    </row>
    <row r="2" spans="1:11" s="88" customFormat="1" x14ac:dyDescent="0.35">
      <c r="G2" s="89"/>
      <c r="H2" s="88" t="s">
        <v>67</v>
      </c>
      <c r="J2" s="90" t="s">
        <v>68</v>
      </c>
      <c r="K2" s="90" t="s">
        <v>69</v>
      </c>
    </row>
    <row r="3" spans="1:11" x14ac:dyDescent="0.35">
      <c r="A3" s="91" t="str">
        <f>TEXT(B3,"yyyy-mmdd")&amp;"-"&amp;TEXT(D3,"0.000")</f>
        <v>2025-0715-0.375</v>
      </c>
      <c r="B3" s="92">
        <f>DATE(VALUE(LEFT(TRIM($C3),4)),INT((SEARCH(TRIM(MID(TRIM($C3),5,4)),"JanFebMarAprMayJunJulAugSepOctNovDec")-1)/3)+1,VALUE(RIGHT(TRIM($C3),2)))</f>
        <v>45853</v>
      </c>
      <c r="C3" s="93" t="s">
        <v>70</v>
      </c>
      <c r="D3" s="94">
        <v>0.375</v>
      </c>
      <c r="E3" s="95">
        <v>99.28</v>
      </c>
      <c r="F3" s="95">
        <v>99.29</v>
      </c>
      <c r="G3" s="96" t="s">
        <v>241</v>
      </c>
      <c r="H3" s="94">
        <v>1.002</v>
      </c>
      <c r="I3" s="93">
        <v>1346</v>
      </c>
      <c r="J3" s="97">
        <f>INT(E3)+(100*MOD(E3,1))/32</f>
        <v>99.875</v>
      </c>
      <c r="K3" s="97">
        <f>INT(F3)+(100*MOD(F3,1))/32</f>
        <v>99.906250000000014</v>
      </c>
    </row>
    <row r="4" spans="1:11" x14ac:dyDescent="0.35">
      <c r="A4" s="91" t="str">
        <f t="shared" ref="A4:A59" si="1">TEXT(B4,"yyyy-mmdd")&amp;"-"&amp;TEXT(D4,"0.000")</f>
        <v>2025-1015-0.125</v>
      </c>
      <c r="B4" s="92">
        <f t="shared" ref="B4:B59" si="2">DATE(VALUE(LEFT(TRIM($C4),4)),INT((SEARCH(TRIM(MID(TRIM($C4),5,4)),"JanFebMarAprMayJunJulAugSepOctNovDec")-1)/3)+1,VALUE(RIGHT(TRIM($C4),2)))</f>
        <v>45945</v>
      </c>
      <c r="C4" s="93" t="s">
        <v>71</v>
      </c>
      <c r="D4" s="94">
        <v>0.125</v>
      </c>
      <c r="E4" s="95">
        <v>99.24</v>
      </c>
      <c r="F4" s="95">
        <v>99.24</v>
      </c>
      <c r="G4" s="96">
        <v>1</v>
      </c>
      <c r="H4" s="94">
        <v>0.72699999999999998</v>
      </c>
      <c r="I4" s="93">
        <v>1230</v>
      </c>
      <c r="J4" s="97">
        <f t="shared" ref="J4:K42" si="3">INT(E4)+(100*MOD(E4,1))/32</f>
        <v>99.749999999999986</v>
      </c>
      <c r="K4" s="97">
        <f t="shared" si="3"/>
        <v>99.749999999999986</v>
      </c>
    </row>
    <row r="5" spans="1:11" x14ac:dyDescent="0.35">
      <c r="A5" s="91" t="str">
        <f t="shared" si="1"/>
        <v>2026-0115-0.625</v>
      </c>
      <c r="B5" s="92">
        <f t="shared" si="2"/>
        <v>46037</v>
      </c>
      <c r="C5" s="93" t="s">
        <v>72</v>
      </c>
      <c r="D5" s="94">
        <v>0.625</v>
      </c>
      <c r="E5" s="95">
        <v>99.16</v>
      </c>
      <c r="F5" s="95">
        <v>99.16</v>
      </c>
      <c r="G5" s="96">
        <v>-1</v>
      </c>
      <c r="H5" s="94">
        <v>1.383</v>
      </c>
      <c r="I5" s="93">
        <v>1344</v>
      </c>
      <c r="J5" s="97">
        <f t="shared" si="3"/>
        <v>99.499999999999986</v>
      </c>
      <c r="K5" s="97">
        <f t="shared" si="3"/>
        <v>99.499999999999986</v>
      </c>
    </row>
    <row r="6" spans="1:11" x14ac:dyDescent="0.35">
      <c r="A6" s="91" t="str">
        <f t="shared" si="1"/>
        <v>2026-0115-2.000</v>
      </c>
      <c r="B6" s="92">
        <f t="shared" si="2"/>
        <v>46037</v>
      </c>
      <c r="C6" s="93" t="s">
        <v>72</v>
      </c>
      <c r="D6" s="94">
        <v>2</v>
      </c>
      <c r="E6" s="95">
        <v>100.13</v>
      </c>
      <c r="F6" s="95">
        <v>100.13</v>
      </c>
      <c r="G6" s="96">
        <v>-1</v>
      </c>
      <c r="H6" s="94">
        <v>1.383</v>
      </c>
      <c r="I6" s="93">
        <v>1609</v>
      </c>
      <c r="J6" s="97">
        <f t="shared" si="3"/>
        <v>100.40624999999999</v>
      </c>
      <c r="K6" s="97">
        <f t="shared" si="3"/>
        <v>100.40624999999999</v>
      </c>
    </row>
    <row r="7" spans="1:11" x14ac:dyDescent="0.35">
      <c r="A7" s="91" t="str">
        <f t="shared" si="1"/>
        <v>2026-0415-0.125</v>
      </c>
      <c r="B7" s="92">
        <f t="shared" si="2"/>
        <v>46127</v>
      </c>
      <c r="C7" s="93" t="s">
        <v>73</v>
      </c>
      <c r="D7" s="94">
        <v>0.125</v>
      </c>
      <c r="E7" s="95">
        <v>98.27</v>
      </c>
      <c r="F7" s="95">
        <v>98.27</v>
      </c>
      <c r="G7" s="96" t="s">
        <v>241</v>
      </c>
      <c r="H7" s="94">
        <v>1.39</v>
      </c>
      <c r="I7" s="93">
        <v>1217</v>
      </c>
      <c r="J7" s="97">
        <f t="shared" si="3"/>
        <v>98.843749999999986</v>
      </c>
      <c r="K7" s="97">
        <f t="shared" si="3"/>
        <v>98.843749999999986</v>
      </c>
    </row>
    <row r="8" spans="1:11" x14ac:dyDescent="0.35">
      <c r="A8" s="91" t="str">
        <f t="shared" si="1"/>
        <v>2026-0715-0.125</v>
      </c>
      <c r="B8" s="92">
        <f t="shared" si="2"/>
        <v>46218</v>
      </c>
      <c r="C8" s="93" t="s">
        <v>74</v>
      </c>
      <c r="D8" s="94">
        <v>0.125</v>
      </c>
      <c r="E8" s="95">
        <v>99.02</v>
      </c>
      <c r="F8" s="95">
        <v>99.02</v>
      </c>
      <c r="G8" s="96">
        <v>-1</v>
      </c>
      <c r="H8" s="94">
        <v>0.92300000000000004</v>
      </c>
      <c r="I8" s="93">
        <v>1332</v>
      </c>
      <c r="J8" s="97">
        <f t="shared" si="3"/>
        <v>99.062499999999986</v>
      </c>
      <c r="K8" s="97">
        <f t="shared" si="3"/>
        <v>99.062499999999986</v>
      </c>
    </row>
    <row r="9" spans="1:11" x14ac:dyDescent="0.35">
      <c r="A9" s="91" t="str">
        <f t="shared" si="1"/>
        <v>2026-1015-0.125</v>
      </c>
      <c r="B9" s="92">
        <f t="shared" si="2"/>
        <v>46310</v>
      </c>
      <c r="C9" s="93" t="s">
        <v>75</v>
      </c>
      <c r="D9" s="94">
        <v>0.125</v>
      </c>
      <c r="E9" s="95">
        <v>98.2</v>
      </c>
      <c r="F9" s="95">
        <v>98.2</v>
      </c>
      <c r="G9" s="96" t="s">
        <v>241</v>
      </c>
      <c r="H9" s="94">
        <v>1.0960000000000001</v>
      </c>
      <c r="I9" s="93">
        <v>1168</v>
      </c>
      <c r="J9" s="97">
        <f t="shared" si="3"/>
        <v>98.625000000000014</v>
      </c>
      <c r="K9" s="97">
        <f t="shared" si="3"/>
        <v>98.625000000000014</v>
      </c>
    </row>
    <row r="10" spans="1:11" x14ac:dyDescent="0.35">
      <c r="A10" s="91" t="str">
        <f t="shared" si="1"/>
        <v>2027-0115-0.375</v>
      </c>
      <c r="B10" s="92">
        <f t="shared" si="2"/>
        <v>46402</v>
      </c>
      <c r="C10" s="93" t="s">
        <v>76</v>
      </c>
      <c r="D10" s="94">
        <v>0.375</v>
      </c>
      <c r="E10" s="95">
        <v>98.11</v>
      </c>
      <c r="F10" s="95">
        <v>98.12</v>
      </c>
      <c r="G10" s="96" t="s">
        <v>241</v>
      </c>
      <c r="H10" s="94">
        <v>1.3660000000000001</v>
      </c>
      <c r="I10" s="93">
        <v>1322</v>
      </c>
      <c r="J10" s="97">
        <f t="shared" si="3"/>
        <v>98.34375</v>
      </c>
      <c r="K10" s="97">
        <f t="shared" si="3"/>
        <v>98.375000000000014</v>
      </c>
    </row>
    <row r="11" spans="1:11" x14ac:dyDescent="0.35">
      <c r="A11" s="91" t="str">
        <f t="shared" si="1"/>
        <v>2027-0115-2.375</v>
      </c>
      <c r="B11" s="92">
        <f t="shared" si="2"/>
        <v>46402</v>
      </c>
      <c r="C11" s="93" t="s">
        <v>76</v>
      </c>
      <c r="D11" s="94">
        <v>2.375</v>
      </c>
      <c r="E11" s="95">
        <v>101.21</v>
      </c>
      <c r="F11" s="95">
        <v>101.21</v>
      </c>
      <c r="G11" s="96">
        <v>-1</v>
      </c>
      <c r="H11" s="94">
        <v>1.3620000000000001</v>
      </c>
      <c r="I11" s="93">
        <v>1583</v>
      </c>
      <c r="J11" s="97">
        <f t="shared" si="3"/>
        <v>101.65624999999999</v>
      </c>
      <c r="K11" s="97">
        <f t="shared" si="3"/>
        <v>101.65624999999999</v>
      </c>
    </row>
    <row r="12" spans="1:11" x14ac:dyDescent="0.35">
      <c r="A12" s="91" t="str">
        <f t="shared" si="1"/>
        <v>2027-0415-0.125</v>
      </c>
      <c r="B12" s="92">
        <f t="shared" si="2"/>
        <v>46492</v>
      </c>
      <c r="C12" s="93" t="s">
        <v>77</v>
      </c>
      <c r="D12" s="94">
        <v>0.125</v>
      </c>
      <c r="E12" s="95">
        <v>97.17</v>
      </c>
      <c r="F12" s="95">
        <v>97.18</v>
      </c>
      <c r="G12" s="96" t="s">
        <v>241</v>
      </c>
      <c r="H12" s="94">
        <v>1.4119999999999999</v>
      </c>
      <c r="I12" s="93">
        <v>1131</v>
      </c>
      <c r="J12" s="97">
        <f t="shared" si="3"/>
        <v>97.53125</v>
      </c>
      <c r="K12" s="97">
        <f t="shared" si="3"/>
        <v>97.562500000000028</v>
      </c>
    </row>
    <row r="13" spans="1:11" x14ac:dyDescent="0.35">
      <c r="A13" s="91" t="str">
        <f t="shared" si="1"/>
        <v>2027-0715-0.375</v>
      </c>
      <c r="B13" s="92">
        <f t="shared" si="2"/>
        <v>46583</v>
      </c>
      <c r="C13" s="93" t="s">
        <v>78</v>
      </c>
      <c r="D13" s="94">
        <v>0.375</v>
      </c>
      <c r="E13" s="95">
        <v>98.09</v>
      </c>
      <c r="F13" s="95">
        <v>98.1</v>
      </c>
      <c r="G13" s="96">
        <v>3</v>
      </c>
      <c r="H13" s="94">
        <v>1.1719999999999999</v>
      </c>
      <c r="I13" s="93">
        <v>1305</v>
      </c>
      <c r="J13" s="97">
        <f t="shared" si="3"/>
        <v>98.281250000000014</v>
      </c>
      <c r="K13" s="97">
        <f t="shared" si="3"/>
        <v>98.312499999999986</v>
      </c>
    </row>
    <row r="14" spans="1:11" x14ac:dyDescent="0.35">
      <c r="A14" s="91" t="str">
        <f t="shared" si="1"/>
        <v>2027-1015-1.625</v>
      </c>
      <c r="B14" s="92">
        <f t="shared" si="2"/>
        <v>46675</v>
      </c>
      <c r="C14" s="93" t="s">
        <v>79</v>
      </c>
      <c r="D14" s="94">
        <v>1.625</v>
      </c>
      <c r="E14" s="95">
        <v>100.27</v>
      </c>
      <c r="F14" s="95">
        <v>100.28</v>
      </c>
      <c r="G14" s="96">
        <v>4</v>
      </c>
      <c r="H14" s="94">
        <v>1.2609999999999999</v>
      </c>
      <c r="I14" s="93">
        <v>1078</v>
      </c>
      <c r="J14" s="97">
        <f t="shared" si="3"/>
        <v>100.84374999999999</v>
      </c>
      <c r="K14" s="97">
        <f t="shared" si="3"/>
        <v>100.875</v>
      </c>
    </row>
    <row r="15" spans="1:11" x14ac:dyDescent="0.35">
      <c r="A15" s="91" t="str">
        <f t="shared" si="1"/>
        <v>2028-0115-0.500</v>
      </c>
      <c r="B15" s="92">
        <f t="shared" si="2"/>
        <v>46767</v>
      </c>
      <c r="C15" s="93" t="s">
        <v>80</v>
      </c>
      <c r="D15" s="94">
        <v>0.5</v>
      </c>
      <c r="E15" s="95">
        <v>97.17</v>
      </c>
      <c r="F15" s="95">
        <v>97.18</v>
      </c>
      <c r="G15" s="96">
        <v>3</v>
      </c>
      <c r="H15" s="94">
        <v>1.429</v>
      </c>
      <c r="I15" s="93">
        <v>1294</v>
      </c>
      <c r="J15" s="97">
        <f t="shared" si="3"/>
        <v>97.53125</v>
      </c>
      <c r="K15" s="97">
        <f t="shared" si="3"/>
        <v>97.562500000000028</v>
      </c>
    </row>
    <row r="16" spans="1:11" x14ac:dyDescent="0.35">
      <c r="A16" s="91" t="str">
        <f t="shared" si="1"/>
        <v>2028-0115-1.750</v>
      </c>
      <c r="B16" s="92">
        <f t="shared" si="2"/>
        <v>46767</v>
      </c>
      <c r="C16" s="93" t="s">
        <v>80</v>
      </c>
      <c r="D16" s="94">
        <v>1.75</v>
      </c>
      <c r="E16" s="95">
        <v>100.26</v>
      </c>
      <c r="F16" s="95">
        <v>100.27</v>
      </c>
      <c r="G16" s="96">
        <v>3</v>
      </c>
      <c r="H16" s="94">
        <v>1.423</v>
      </c>
      <c r="I16" s="93">
        <v>1524</v>
      </c>
      <c r="J16" s="97">
        <f t="shared" si="3"/>
        <v>100.81250000000001</v>
      </c>
      <c r="K16" s="97">
        <f t="shared" si="3"/>
        <v>100.84374999999999</v>
      </c>
    </row>
    <row r="17" spans="1:12" x14ac:dyDescent="0.35">
      <c r="A17" s="91" t="str">
        <f t="shared" si="1"/>
        <v>2028-0415-3.625</v>
      </c>
      <c r="B17" s="92">
        <f t="shared" si="2"/>
        <v>46858</v>
      </c>
      <c r="C17" s="93" t="s">
        <v>81</v>
      </c>
      <c r="D17" s="94">
        <v>3.625</v>
      </c>
      <c r="E17" s="95">
        <v>105.31</v>
      </c>
      <c r="F17" s="95">
        <v>106.01</v>
      </c>
      <c r="G17" s="96">
        <v>1</v>
      </c>
      <c r="H17" s="94">
        <v>1.506</v>
      </c>
      <c r="I17" s="93">
        <v>1974</v>
      </c>
      <c r="J17" s="97">
        <f t="shared" si="3"/>
        <v>105.96875</v>
      </c>
      <c r="K17" s="97">
        <f t="shared" si="3"/>
        <v>106.03125000000001</v>
      </c>
    </row>
    <row r="18" spans="1:12" x14ac:dyDescent="0.35">
      <c r="A18" s="91" t="str">
        <f t="shared" si="1"/>
        <v>2028-0415-1.250</v>
      </c>
      <c r="B18" s="92">
        <f t="shared" si="2"/>
        <v>46858</v>
      </c>
      <c r="C18" s="93" t="s">
        <v>81</v>
      </c>
      <c r="D18" s="94">
        <v>1.25</v>
      </c>
      <c r="E18" s="95">
        <v>99.06</v>
      </c>
      <c r="F18" s="95">
        <v>99.08</v>
      </c>
      <c r="G18" s="96">
        <v>2</v>
      </c>
      <c r="H18" s="94">
        <v>1.5169999999999999</v>
      </c>
      <c r="I18" s="93">
        <v>1064</v>
      </c>
      <c r="J18" s="97">
        <f t="shared" si="3"/>
        <v>99.1875</v>
      </c>
      <c r="K18" s="97">
        <f t="shared" si="3"/>
        <v>99.25</v>
      </c>
    </row>
    <row r="19" spans="1:12" x14ac:dyDescent="0.35">
      <c r="A19" s="91" t="str">
        <f t="shared" si="1"/>
        <v>2028-0715-0.750</v>
      </c>
      <c r="B19" s="92">
        <f t="shared" si="2"/>
        <v>46949</v>
      </c>
      <c r="C19" s="93" t="s">
        <v>82</v>
      </c>
      <c r="D19" s="94">
        <v>0.75</v>
      </c>
      <c r="E19" s="95">
        <v>98</v>
      </c>
      <c r="F19" s="95">
        <v>98.01</v>
      </c>
      <c r="G19" s="96">
        <v>2</v>
      </c>
      <c r="H19" s="94">
        <v>1.3819999999999999</v>
      </c>
      <c r="I19" s="93">
        <v>1272</v>
      </c>
      <c r="J19" s="97">
        <f t="shared" si="3"/>
        <v>98</v>
      </c>
      <c r="K19" s="97">
        <f t="shared" si="3"/>
        <v>98.031250000000014</v>
      </c>
    </row>
    <row r="20" spans="1:12" x14ac:dyDescent="0.35">
      <c r="A20" s="91" t="str">
        <f t="shared" si="1"/>
        <v>2028-1015-2.375</v>
      </c>
      <c r="B20" s="92">
        <f t="shared" si="2"/>
        <v>47041</v>
      </c>
      <c r="C20" s="93" t="s">
        <v>134</v>
      </c>
      <c r="D20" s="94">
        <v>2.375</v>
      </c>
      <c r="E20" s="95">
        <v>103.03</v>
      </c>
      <c r="F20" s="95">
        <v>103.05</v>
      </c>
      <c r="G20" s="96">
        <v>2</v>
      </c>
      <c r="H20" s="94">
        <v>1.4259999999999999</v>
      </c>
      <c r="I20" s="93">
        <v>1042</v>
      </c>
      <c r="J20" s="97">
        <f t="shared" si="3"/>
        <v>103.09375</v>
      </c>
      <c r="K20" s="97">
        <f t="shared" si="3"/>
        <v>103.15624999999999</v>
      </c>
    </row>
    <row r="21" spans="1:12" x14ac:dyDescent="0.35">
      <c r="A21" s="91" t="str">
        <f t="shared" si="1"/>
        <v>2029-0115-0.875</v>
      </c>
      <c r="B21" s="92">
        <f t="shared" si="2"/>
        <v>47133</v>
      </c>
      <c r="C21" s="93" t="s">
        <v>83</v>
      </c>
      <c r="D21" s="94">
        <v>0.875</v>
      </c>
      <c r="E21" s="95">
        <v>97.17</v>
      </c>
      <c r="F21" s="95">
        <v>97.19</v>
      </c>
      <c r="G21" s="96">
        <v>2</v>
      </c>
      <c r="H21" s="94">
        <v>1.554</v>
      </c>
      <c r="I21" s="93">
        <v>1264</v>
      </c>
      <c r="J21" s="97">
        <f t="shared" si="3"/>
        <v>97.53125</v>
      </c>
      <c r="K21" s="97">
        <f t="shared" si="3"/>
        <v>97.59375</v>
      </c>
    </row>
    <row r="22" spans="1:12" x14ac:dyDescent="0.35">
      <c r="A22" s="91" t="str">
        <f t="shared" si="1"/>
        <v>2029-0115-2.500</v>
      </c>
      <c r="B22" s="92">
        <f t="shared" si="2"/>
        <v>47133</v>
      </c>
      <c r="C22" s="93" t="s">
        <v>83</v>
      </c>
      <c r="D22" s="94">
        <v>2.5</v>
      </c>
      <c r="E22" s="95">
        <v>103.1</v>
      </c>
      <c r="F22" s="95">
        <v>103.12</v>
      </c>
      <c r="G22" s="96">
        <v>2</v>
      </c>
      <c r="H22" s="94">
        <v>1.5529999999999999</v>
      </c>
      <c r="I22" s="93">
        <v>1487</v>
      </c>
      <c r="J22" s="97">
        <f t="shared" si="3"/>
        <v>103.31249999999999</v>
      </c>
      <c r="K22" s="97">
        <f t="shared" si="3"/>
        <v>103.37500000000001</v>
      </c>
    </row>
    <row r="23" spans="1:12" x14ac:dyDescent="0.35">
      <c r="A23" s="91" t="str">
        <f t="shared" si="1"/>
        <v>2029-0415-3.875</v>
      </c>
      <c r="B23" s="92">
        <f t="shared" si="2"/>
        <v>47223</v>
      </c>
      <c r="C23" s="93" t="s">
        <v>84</v>
      </c>
      <c r="D23" s="94">
        <v>3.875</v>
      </c>
      <c r="E23" s="95">
        <v>108.18</v>
      </c>
      <c r="F23" s="95">
        <v>108.2</v>
      </c>
      <c r="G23" s="96">
        <v>2</v>
      </c>
      <c r="H23" s="94">
        <v>1.5940000000000001</v>
      </c>
      <c r="I23" s="93">
        <v>1942</v>
      </c>
      <c r="J23" s="97">
        <f t="shared" si="3"/>
        <v>108.56250000000003</v>
      </c>
      <c r="K23" s="97">
        <f t="shared" si="3"/>
        <v>108.62500000000001</v>
      </c>
    </row>
    <row r="24" spans="1:12" x14ac:dyDescent="0.35">
      <c r="A24" s="91" t="str">
        <f t="shared" si="1"/>
        <v>2029-0415-2.125</v>
      </c>
      <c r="B24" s="92">
        <f t="shared" si="2"/>
        <v>47223</v>
      </c>
      <c r="C24" s="93" t="s">
        <v>84</v>
      </c>
      <c r="D24" s="94">
        <v>2.125</v>
      </c>
      <c r="E24" s="95">
        <v>101.28</v>
      </c>
      <c r="F24" s="95">
        <v>101.3</v>
      </c>
      <c r="G24" s="96">
        <v>2</v>
      </c>
      <c r="H24" s="94">
        <v>1.617</v>
      </c>
      <c r="I24" s="93">
        <v>1032</v>
      </c>
      <c r="J24" s="97">
        <f t="shared" si="3"/>
        <v>101.875</v>
      </c>
      <c r="K24" s="97">
        <f t="shared" si="3"/>
        <v>101.93749999999999</v>
      </c>
    </row>
    <row r="25" spans="1:12" x14ac:dyDescent="0.35">
      <c r="A25" s="91" t="str">
        <f t="shared" si="1"/>
        <v>2029-0715-0.250</v>
      </c>
      <c r="B25" s="92">
        <f t="shared" si="2"/>
        <v>47314</v>
      </c>
      <c r="C25" s="93" t="s">
        <v>85</v>
      </c>
      <c r="D25" s="94">
        <v>0.25</v>
      </c>
      <c r="E25" s="95">
        <v>94.29</v>
      </c>
      <c r="F25" s="95">
        <v>94.31</v>
      </c>
      <c r="G25" s="96">
        <v>1</v>
      </c>
      <c r="H25" s="94">
        <v>1.5029999999999999</v>
      </c>
      <c r="I25" s="93">
        <v>1248</v>
      </c>
      <c r="J25" s="97">
        <f t="shared" si="3"/>
        <v>94.906250000000014</v>
      </c>
      <c r="K25" s="97">
        <f t="shared" si="3"/>
        <v>94.96875</v>
      </c>
    </row>
    <row r="26" spans="1:12" x14ac:dyDescent="0.35">
      <c r="A26" s="91" t="str">
        <f t="shared" si="1"/>
        <v>2029-1015-1.625</v>
      </c>
      <c r="B26" s="92">
        <f t="shared" si="2"/>
        <v>47406</v>
      </c>
      <c r="C26" s="93" t="s">
        <v>140</v>
      </c>
      <c r="D26" s="94">
        <v>1.625</v>
      </c>
      <c r="E26" s="95">
        <v>100.07</v>
      </c>
      <c r="F26" s="95">
        <v>100.09</v>
      </c>
      <c r="G26" s="96">
        <v>1</v>
      </c>
      <c r="H26" s="94">
        <v>1.556</v>
      </c>
      <c r="I26" s="93">
        <v>1015</v>
      </c>
      <c r="J26" s="97">
        <f t="shared" si="3"/>
        <v>100.21874999999997</v>
      </c>
      <c r="K26" s="97">
        <f t="shared" si="3"/>
        <v>100.28125000000001</v>
      </c>
    </row>
    <row r="27" spans="1:12" x14ac:dyDescent="0.35">
      <c r="A27" s="91" t="str">
        <f t="shared" si="1"/>
        <v>2030-0115-0.125</v>
      </c>
      <c r="B27" s="92">
        <f t="shared" si="2"/>
        <v>47498</v>
      </c>
      <c r="C27" s="93" t="s">
        <v>86</v>
      </c>
      <c r="D27" s="94">
        <v>0.125</v>
      </c>
      <c r="E27" s="119">
        <v>93.03</v>
      </c>
      <c r="F27" s="119">
        <v>93.05</v>
      </c>
      <c r="G27" s="96">
        <v>2</v>
      </c>
      <c r="H27" s="94">
        <v>1.6539999999999999</v>
      </c>
      <c r="I27" s="93">
        <v>1241</v>
      </c>
      <c r="J27" s="97">
        <f t="shared" si="3"/>
        <v>93.09375</v>
      </c>
      <c r="K27" s="97">
        <f t="shared" si="3"/>
        <v>93.156249999999986</v>
      </c>
      <c r="L27" s="120"/>
    </row>
    <row r="28" spans="1:12" x14ac:dyDescent="0.35">
      <c r="A28" s="91" t="str">
        <f t="shared" si="1"/>
        <v>2030-0415-1.625</v>
      </c>
      <c r="B28" s="92">
        <f t="shared" si="2"/>
        <v>47588</v>
      </c>
      <c r="C28" s="93" t="s">
        <v>242</v>
      </c>
      <c r="D28" s="94">
        <v>1.625</v>
      </c>
      <c r="E28" s="95">
        <v>99.17</v>
      </c>
      <c r="F28" s="95">
        <v>99.2</v>
      </c>
      <c r="G28" s="96">
        <v>2</v>
      </c>
      <c r="H28" s="94">
        <v>1.708</v>
      </c>
      <c r="I28" s="93">
        <v>1003</v>
      </c>
      <c r="J28" s="97">
        <f t="shared" si="3"/>
        <v>99.53125</v>
      </c>
      <c r="K28" s="97">
        <f t="shared" si="3"/>
        <v>99.625000000000014</v>
      </c>
    </row>
    <row r="29" spans="1:12" x14ac:dyDescent="0.35">
      <c r="A29" s="91" t="str">
        <f t="shared" si="1"/>
        <v>2030-0715-0.125</v>
      </c>
      <c r="B29" s="92">
        <f t="shared" si="2"/>
        <v>47679</v>
      </c>
      <c r="C29" s="93" t="s">
        <v>87</v>
      </c>
      <c r="D29" s="94">
        <v>0.125</v>
      </c>
      <c r="E29" s="95">
        <v>92.18</v>
      </c>
      <c r="F29" s="95">
        <v>92.2</v>
      </c>
      <c r="G29" s="96">
        <v>3</v>
      </c>
      <c r="H29" s="94">
        <v>1.6180000000000001</v>
      </c>
      <c r="I29" s="93">
        <v>1245</v>
      </c>
      <c r="J29" s="97">
        <f t="shared" si="3"/>
        <v>92.562500000000028</v>
      </c>
      <c r="K29" s="97">
        <f t="shared" si="3"/>
        <v>92.625000000000014</v>
      </c>
    </row>
    <row r="30" spans="1:12" x14ac:dyDescent="0.35">
      <c r="A30" s="91" t="str">
        <f t="shared" si="1"/>
        <v>2031-0115-0.125</v>
      </c>
      <c r="B30" s="92">
        <f t="shared" si="2"/>
        <v>47863</v>
      </c>
      <c r="C30" s="93" t="s">
        <v>88</v>
      </c>
      <c r="D30" s="94">
        <v>0.125</v>
      </c>
      <c r="E30" s="95">
        <v>91.01</v>
      </c>
      <c r="F30" s="95">
        <v>91.03</v>
      </c>
      <c r="G30" s="96">
        <v>2</v>
      </c>
      <c r="H30" s="94">
        <v>1.784</v>
      </c>
      <c r="I30" s="93">
        <v>1226</v>
      </c>
      <c r="J30" s="97">
        <f t="shared" si="3"/>
        <v>91.031250000000014</v>
      </c>
      <c r="K30" s="97">
        <f t="shared" si="3"/>
        <v>91.09375</v>
      </c>
    </row>
    <row r="31" spans="1:12" x14ac:dyDescent="0.35">
      <c r="A31" s="91" t="str">
        <f t="shared" si="1"/>
        <v>2031-0715-0.125</v>
      </c>
      <c r="B31" s="92">
        <f t="shared" si="2"/>
        <v>48044</v>
      </c>
      <c r="C31" s="93" t="s">
        <v>89</v>
      </c>
      <c r="D31" s="94">
        <v>0.125</v>
      </c>
      <c r="E31" s="95">
        <v>90.11</v>
      </c>
      <c r="F31" s="95">
        <v>90.14</v>
      </c>
      <c r="G31" s="96">
        <v>2</v>
      </c>
      <c r="H31" s="94">
        <v>1.77</v>
      </c>
      <c r="I31" s="93">
        <v>1191</v>
      </c>
      <c r="J31" s="97">
        <f t="shared" si="3"/>
        <v>90.34375</v>
      </c>
      <c r="K31" s="97">
        <f t="shared" si="3"/>
        <v>90.4375</v>
      </c>
    </row>
    <row r="32" spans="1:12" x14ac:dyDescent="0.35">
      <c r="A32" s="91" t="str">
        <f t="shared" si="1"/>
        <v>2032-0115-0.125</v>
      </c>
      <c r="B32" s="92">
        <f t="shared" si="2"/>
        <v>48228</v>
      </c>
      <c r="C32" s="93" t="s">
        <v>90</v>
      </c>
      <c r="D32" s="94">
        <v>0.125</v>
      </c>
      <c r="E32" s="95">
        <v>88.28</v>
      </c>
      <c r="F32" s="95">
        <v>88.31</v>
      </c>
      <c r="G32" s="96">
        <v>3</v>
      </c>
      <c r="H32" s="94">
        <v>1.895</v>
      </c>
      <c r="I32" s="93">
        <v>1152</v>
      </c>
      <c r="J32" s="97">
        <f t="shared" si="3"/>
        <v>88.875</v>
      </c>
      <c r="K32" s="97">
        <f t="shared" si="3"/>
        <v>88.96875</v>
      </c>
    </row>
    <row r="33" spans="1:11" x14ac:dyDescent="0.35">
      <c r="A33" s="91" t="str">
        <f t="shared" si="1"/>
        <v>2032-0415-3.375</v>
      </c>
      <c r="B33" s="92">
        <f t="shared" si="2"/>
        <v>48319</v>
      </c>
      <c r="C33" s="93" t="s">
        <v>91</v>
      </c>
      <c r="D33" s="94">
        <v>3.375</v>
      </c>
      <c r="E33" s="95">
        <v>109.22</v>
      </c>
      <c r="F33" s="95">
        <v>109.25</v>
      </c>
      <c r="G33" s="96">
        <v>3</v>
      </c>
      <c r="H33" s="94">
        <v>1.861</v>
      </c>
      <c r="I33" s="93">
        <v>1799</v>
      </c>
      <c r="J33" s="97">
        <f t="shared" si="3"/>
        <v>109.6875</v>
      </c>
      <c r="K33" s="97">
        <f t="shared" si="3"/>
        <v>109.78125</v>
      </c>
    </row>
    <row r="34" spans="1:11" x14ac:dyDescent="0.35">
      <c r="A34" s="91" t="str">
        <f t="shared" si="1"/>
        <v>2032-0715-0.625</v>
      </c>
      <c r="B34" s="92">
        <f t="shared" si="2"/>
        <v>48410</v>
      </c>
      <c r="C34" s="93" t="s">
        <v>92</v>
      </c>
      <c r="D34" s="94">
        <v>0.625</v>
      </c>
      <c r="E34" s="95">
        <v>91.15</v>
      </c>
      <c r="F34" s="95">
        <v>91.18</v>
      </c>
      <c r="G34" s="96">
        <v>4</v>
      </c>
      <c r="H34" s="94">
        <v>1.89</v>
      </c>
      <c r="I34" s="93">
        <v>1099</v>
      </c>
      <c r="J34" s="97">
        <f t="shared" si="3"/>
        <v>91.468750000000014</v>
      </c>
      <c r="K34" s="97">
        <f t="shared" si="3"/>
        <v>91.562500000000028</v>
      </c>
    </row>
    <row r="35" spans="1:11" x14ac:dyDescent="0.35">
      <c r="A35" s="91" t="str">
        <f t="shared" si="1"/>
        <v>2033-0115-1.125</v>
      </c>
      <c r="B35" s="92">
        <f t="shared" si="2"/>
        <v>48594</v>
      </c>
      <c r="C35" s="93" t="s">
        <v>93</v>
      </c>
      <c r="D35" s="94">
        <v>1.125</v>
      </c>
      <c r="E35" s="95">
        <v>93.24</v>
      </c>
      <c r="F35" s="95">
        <v>93.28</v>
      </c>
      <c r="G35" s="96">
        <v>4</v>
      </c>
      <c r="H35" s="94">
        <v>1.992</v>
      </c>
      <c r="I35" s="93">
        <v>1072</v>
      </c>
      <c r="J35" s="97">
        <f t="shared" si="3"/>
        <v>93.749999999999986</v>
      </c>
      <c r="K35" s="97">
        <f t="shared" si="3"/>
        <v>93.875</v>
      </c>
    </row>
    <row r="36" spans="1:11" x14ac:dyDescent="0.35">
      <c r="A36" s="91" t="str">
        <f t="shared" si="1"/>
        <v>2033-0715-1.375</v>
      </c>
      <c r="B36" s="92">
        <f t="shared" si="2"/>
        <v>48775</v>
      </c>
      <c r="C36" s="93" t="s">
        <v>94</v>
      </c>
      <c r="D36" s="94">
        <v>1.375</v>
      </c>
      <c r="E36" s="95">
        <v>95.09</v>
      </c>
      <c r="F36" s="95">
        <v>95.12</v>
      </c>
      <c r="G36" s="96">
        <v>4</v>
      </c>
      <c r="H36" s="94">
        <v>1.9890000000000001</v>
      </c>
      <c r="I36" s="93">
        <v>1051</v>
      </c>
      <c r="J36" s="97">
        <f t="shared" si="3"/>
        <v>95.281250000000014</v>
      </c>
      <c r="K36" s="97">
        <f t="shared" si="3"/>
        <v>95.375000000000014</v>
      </c>
    </row>
    <row r="37" spans="1:11" x14ac:dyDescent="0.35">
      <c r="A37" s="91" t="str">
        <f t="shared" si="1"/>
        <v>2034-0115-1.750</v>
      </c>
      <c r="B37" s="92">
        <f t="shared" si="2"/>
        <v>48959</v>
      </c>
      <c r="C37" s="93" t="s">
        <v>137</v>
      </c>
      <c r="D37" s="94">
        <v>1.75</v>
      </c>
      <c r="E37" s="95">
        <v>97.1</v>
      </c>
      <c r="F37" s="95">
        <v>97.14</v>
      </c>
      <c r="G37" s="96">
        <v>3</v>
      </c>
      <c r="H37" s="94">
        <v>2.0760000000000001</v>
      </c>
      <c r="I37" s="93">
        <v>1039</v>
      </c>
      <c r="J37" s="97">
        <f t="shared" si="3"/>
        <v>97.312499999999986</v>
      </c>
      <c r="K37" s="97">
        <f t="shared" si="3"/>
        <v>97.4375</v>
      </c>
    </row>
    <row r="38" spans="1:11" x14ac:dyDescent="0.35">
      <c r="A38" s="91" t="str">
        <f t="shared" si="1"/>
        <v>2034-0715-1.875</v>
      </c>
      <c r="B38" s="92">
        <f t="shared" si="2"/>
        <v>49140</v>
      </c>
      <c r="C38" s="93" t="s">
        <v>138</v>
      </c>
      <c r="D38" s="94">
        <v>1.875</v>
      </c>
      <c r="E38" s="95">
        <v>98.09</v>
      </c>
      <c r="F38" s="95">
        <v>98.13</v>
      </c>
      <c r="G38" s="96">
        <v>3</v>
      </c>
      <c r="H38" s="94">
        <v>2.0659999999999998</v>
      </c>
      <c r="I38" s="93">
        <v>1017</v>
      </c>
      <c r="J38" s="97">
        <f t="shared" si="3"/>
        <v>98.281250000000014</v>
      </c>
      <c r="K38" s="97">
        <f t="shared" si="3"/>
        <v>98.406249999999986</v>
      </c>
    </row>
    <row r="39" spans="1:11" x14ac:dyDescent="0.35">
      <c r="A39" s="91" t="str">
        <f t="shared" si="1"/>
        <v>2035-0115-2.125</v>
      </c>
      <c r="B39" s="92">
        <f t="shared" si="2"/>
        <v>49324</v>
      </c>
      <c r="C39" s="93" t="s">
        <v>243</v>
      </c>
      <c r="D39" s="94">
        <v>2.125</v>
      </c>
      <c r="E39" s="95">
        <v>99.25</v>
      </c>
      <c r="F39" s="95">
        <v>99.29</v>
      </c>
      <c r="G39" s="96">
        <v>2</v>
      </c>
      <c r="H39" s="94">
        <v>2.1349999999999998</v>
      </c>
      <c r="I39" s="93">
        <v>1012</v>
      </c>
      <c r="J39" s="97">
        <f t="shared" si="3"/>
        <v>99.78125</v>
      </c>
      <c r="K39" s="97">
        <f t="shared" si="3"/>
        <v>99.906250000000014</v>
      </c>
    </row>
    <row r="40" spans="1:11" x14ac:dyDescent="0.35">
      <c r="A40" s="91" t="str">
        <f t="shared" si="1"/>
        <v>2040-0215-2.125</v>
      </c>
      <c r="B40" s="92">
        <f t="shared" si="2"/>
        <v>51181</v>
      </c>
      <c r="C40" s="93" t="s">
        <v>95</v>
      </c>
      <c r="D40" s="94">
        <v>2.125</v>
      </c>
      <c r="E40" s="95">
        <v>96.3</v>
      </c>
      <c r="F40" s="95">
        <v>97.03</v>
      </c>
      <c r="G40" s="96">
        <v>5</v>
      </c>
      <c r="H40" s="94">
        <v>2.3580000000000001</v>
      </c>
      <c r="I40" s="93">
        <v>1477</v>
      </c>
      <c r="J40" s="97">
        <f t="shared" si="3"/>
        <v>96.937499999999986</v>
      </c>
      <c r="K40" s="97">
        <f t="shared" si="3"/>
        <v>97.09375</v>
      </c>
    </row>
    <row r="41" spans="1:11" x14ac:dyDescent="0.35">
      <c r="A41" s="91" t="str">
        <f t="shared" si="1"/>
        <v>2041-0215-2.125</v>
      </c>
      <c r="B41" s="92">
        <f t="shared" si="2"/>
        <v>51547</v>
      </c>
      <c r="C41" s="93" t="s">
        <v>96</v>
      </c>
      <c r="D41" s="94">
        <v>2.125</v>
      </c>
      <c r="E41" s="95">
        <v>96.06</v>
      </c>
      <c r="F41" s="95">
        <v>96.12</v>
      </c>
      <c r="G41" s="96">
        <v>5</v>
      </c>
      <c r="H41" s="94">
        <v>2.4039999999999999</v>
      </c>
      <c r="I41" s="93">
        <v>1458</v>
      </c>
      <c r="J41" s="97">
        <f t="shared" si="3"/>
        <v>96.1875</v>
      </c>
      <c r="K41" s="97">
        <f t="shared" si="3"/>
        <v>96.375000000000014</v>
      </c>
    </row>
    <row r="42" spans="1:11" x14ac:dyDescent="0.35">
      <c r="A42" s="91" t="str">
        <f t="shared" si="1"/>
        <v>2042-0215-0.750</v>
      </c>
      <c r="B42" s="92">
        <f t="shared" si="2"/>
        <v>51912</v>
      </c>
      <c r="C42" s="93" t="s">
        <v>97</v>
      </c>
      <c r="D42" s="94">
        <v>0.75</v>
      </c>
      <c r="E42" s="95">
        <v>76.03</v>
      </c>
      <c r="F42" s="95">
        <v>76.08</v>
      </c>
      <c r="G42" s="96">
        <v>7</v>
      </c>
      <c r="H42" s="94">
        <v>2.492</v>
      </c>
      <c r="I42" s="93">
        <v>1413</v>
      </c>
      <c r="J42" s="97">
        <f t="shared" si="3"/>
        <v>76.09375</v>
      </c>
      <c r="K42" s="97">
        <f t="shared" si="3"/>
        <v>76.25</v>
      </c>
    </row>
    <row r="43" spans="1:11" x14ac:dyDescent="0.35">
      <c r="A43" s="91" t="str">
        <f t="shared" si="1"/>
        <v>2043-0215-0.625</v>
      </c>
      <c r="B43" s="92">
        <f t="shared" si="2"/>
        <v>52277</v>
      </c>
      <c r="C43" s="93" t="s">
        <v>98</v>
      </c>
      <c r="D43" s="94">
        <v>0.625</v>
      </c>
      <c r="E43" s="95">
        <v>72.239999999999995</v>
      </c>
      <c r="F43" s="95">
        <v>72.3</v>
      </c>
      <c r="G43" s="96">
        <v>7</v>
      </c>
      <c r="H43" s="94">
        <v>2.5259999999999998</v>
      </c>
      <c r="I43" s="93">
        <v>1389</v>
      </c>
      <c r="J43" s="97">
        <f t="shared" ref="J43:K59" si="4">INT(E43)+(100*MOD(E43,1))/32</f>
        <v>72.749999999999986</v>
      </c>
      <c r="K43" s="97">
        <f t="shared" si="4"/>
        <v>72.937499999999986</v>
      </c>
    </row>
    <row r="44" spans="1:11" x14ac:dyDescent="0.35">
      <c r="A44" s="91" t="str">
        <f t="shared" si="1"/>
        <v>2044-0215-1.375</v>
      </c>
      <c r="B44" s="92">
        <f t="shared" si="2"/>
        <v>52642</v>
      </c>
      <c r="C44" s="93" t="s">
        <v>99</v>
      </c>
      <c r="D44" s="94">
        <v>1.375</v>
      </c>
      <c r="E44" s="95">
        <v>82.07</v>
      </c>
      <c r="F44" s="95">
        <v>82.13</v>
      </c>
      <c r="G44" s="96">
        <v>4</v>
      </c>
      <c r="H44" s="94">
        <v>2.5619999999999998</v>
      </c>
      <c r="I44" s="93">
        <v>1370</v>
      </c>
      <c r="J44" s="97">
        <f t="shared" si="4"/>
        <v>82.218749999999972</v>
      </c>
      <c r="K44" s="97">
        <f t="shared" si="4"/>
        <v>82.406249999999986</v>
      </c>
    </row>
    <row r="45" spans="1:11" x14ac:dyDescent="0.35">
      <c r="A45" s="91" t="str">
        <f t="shared" si="1"/>
        <v>2045-0215-0.750</v>
      </c>
      <c r="B45" s="92">
        <f t="shared" si="2"/>
        <v>53008</v>
      </c>
      <c r="C45" s="93" t="s">
        <v>100</v>
      </c>
      <c r="D45" s="94">
        <v>0.75</v>
      </c>
      <c r="E45" s="95">
        <v>71.13</v>
      </c>
      <c r="F45" s="95">
        <v>71.19</v>
      </c>
      <c r="G45" s="96">
        <v>5</v>
      </c>
      <c r="H45" s="94">
        <v>2.5979999999999999</v>
      </c>
      <c r="I45" s="93">
        <v>1356</v>
      </c>
      <c r="J45" s="97">
        <f t="shared" si="4"/>
        <v>71.406249999999986</v>
      </c>
      <c r="K45" s="97">
        <f t="shared" si="4"/>
        <v>71.59375</v>
      </c>
    </row>
    <row r="46" spans="1:11" x14ac:dyDescent="0.35">
      <c r="A46" s="91" t="str">
        <f t="shared" si="1"/>
        <v>2046-0215-1.000</v>
      </c>
      <c r="B46" s="92">
        <f t="shared" si="2"/>
        <v>53373</v>
      </c>
      <c r="C46" s="93" t="s">
        <v>101</v>
      </c>
      <c r="D46" s="94">
        <v>1</v>
      </c>
      <c r="E46" s="95">
        <v>74</v>
      </c>
      <c r="F46" s="95">
        <v>74.069999999999993</v>
      </c>
      <c r="G46" s="96">
        <v>6</v>
      </c>
      <c r="H46" s="94">
        <v>2.6190000000000002</v>
      </c>
      <c r="I46" s="93">
        <v>1348</v>
      </c>
      <c r="J46" s="97">
        <f t="shared" si="4"/>
        <v>74</v>
      </c>
      <c r="K46" s="97">
        <f t="shared" si="4"/>
        <v>74.218749999999972</v>
      </c>
    </row>
    <row r="47" spans="1:11" x14ac:dyDescent="0.35">
      <c r="A47" s="91" t="str">
        <f t="shared" si="1"/>
        <v>2047-0215-0.875</v>
      </c>
      <c r="B47" s="92">
        <f t="shared" si="2"/>
        <v>53738</v>
      </c>
      <c r="C47" s="93" t="s">
        <v>102</v>
      </c>
      <c r="D47" s="94">
        <v>0.875</v>
      </c>
      <c r="E47" s="95">
        <v>70.23</v>
      </c>
      <c r="F47" s="95">
        <v>70.3</v>
      </c>
      <c r="G47" s="96">
        <v>6</v>
      </c>
      <c r="H47" s="94">
        <v>2.641</v>
      </c>
      <c r="I47" s="93">
        <v>1323</v>
      </c>
      <c r="J47" s="97">
        <f t="shared" si="4"/>
        <v>70.718750000000014</v>
      </c>
      <c r="K47" s="97">
        <f t="shared" si="4"/>
        <v>70.937499999999986</v>
      </c>
    </row>
    <row r="48" spans="1:11" x14ac:dyDescent="0.35">
      <c r="A48" s="91" t="str">
        <f t="shared" si="1"/>
        <v>2048-0215-1.000</v>
      </c>
      <c r="B48" s="92">
        <f t="shared" si="2"/>
        <v>54103</v>
      </c>
      <c r="C48" s="93" t="s">
        <v>103</v>
      </c>
      <c r="D48" s="94">
        <v>1</v>
      </c>
      <c r="E48" s="95">
        <v>71.25</v>
      </c>
      <c r="F48" s="95">
        <v>72</v>
      </c>
      <c r="G48" s="96">
        <v>6</v>
      </c>
      <c r="H48" s="94">
        <v>2.6459999999999999</v>
      </c>
      <c r="I48" s="93">
        <v>1295</v>
      </c>
      <c r="J48" s="97">
        <f t="shared" si="4"/>
        <v>71.78125</v>
      </c>
      <c r="K48" s="97">
        <f t="shared" si="4"/>
        <v>72</v>
      </c>
    </row>
    <row r="49" spans="1:12" x14ac:dyDescent="0.35">
      <c r="A49" s="91" t="str">
        <f t="shared" si="1"/>
        <v>2049-0215-1.000</v>
      </c>
      <c r="B49" s="92">
        <f t="shared" si="2"/>
        <v>54469</v>
      </c>
      <c r="C49" s="93" t="s">
        <v>104</v>
      </c>
      <c r="D49" s="94">
        <v>1</v>
      </c>
      <c r="E49" s="95">
        <v>70.260000000000005</v>
      </c>
      <c r="F49" s="95">
        <v>71</v>
      </c>
      <c r="G49" s="96">
        <v>8</v>
      </c>
      <c r="H49" s="94">
        <v>2.653</v>
      </c>
      <c r="I49" s="93">
        <v>1269</v>
      </c>
      <c r="J49" s="97">
        <f t="shared" si="4"/>
        <v>70.812500000000014</v>
      </c>
      <c r="K49" s="97">
        <f t="shared" si="4"/>
        <v>71</v>
      </c>
    </row>
    <row r="50" spans="1:12" x14ac:dyDescent="0.35">
      <c r="A50" s="91" t="str">
        <f t="shared" si="1"/>
        <v>2050-0215-0.250</v>
      </c>
      <c r="B50" s="92">
        <f t="shared" si="2"/>
        <v>54834</v>
      </c>
      <c r="C50" s="93" t="s">
        <v>105</v>
      </c>
      <c r="D50" s="94">
        <v>0.25</v>
      </c>
      <c r="E50" s="95">
        <v>56.1</v>
      </c>
      <c r="F50" s="95">
        <v>56.17</v>
      </c>
      <c r="G50" s="96">
        <v>7</v>
      </c>
      <c r="H50" s="94">
        <v>2.6589999999999998</v>
      </c>
      <c r="I50" s="93">
        <v>1242</v>
      </c>
      <c r="J50" s="97">
        <f t="shared" si="4"/>
        <v>56.312500000000007</v>
      </c>
      <c r="K50" s="97">
        <f t="shared" si="4"/>
        <v>56.531250000000007</v>
      </c>
    </row>
    <row r="51" spans="1:12" x14ac:dyDescent="0.35">
      <c r="A51" s="91" t="str">
        <f t="shared" si="1"/>
        <v>2051-0215-0.125</v>
      </c>
      <c r="B51" s="92">
        <f t="shared" si="2"/>
        <v>55199</v>
      </c>
      <c r="C51" s="93" t="s">
        <v>106</v>
      </c>
      <c r="D51" s="94">
        <v>0.125</v>
      </c>
      <c r="E51" s="95">
        <v>52.26</v>
      </c>
      <c r="F51" s="95">
        <v>52.32</v>
      </c>
      <c r="G51" s="96">
        <v>5</v>
      </c>
      <c r="H51" s="94">
        <v>2.657</v>
      </c>
      <c r="I51" s="93">
        <v>1226</v>
      </c>
      <c r="J51" s="97">
        <f t="shared" si="4"/>
        <v>52.812499999999993</v>
      </c>
      <c r="K51" s="97">
        <f t="shared" si="4"/>
        <v>53</v>
      </c>
    </row>
    <row r="52" spans="1:12" x14ac:dyDescent="0.35">
      <c r="A52" s="91" t="str">
        <f t="shared" si="1"/>
        <v>2052-0215-0.125</v>
      </c>
      <c r="B52" s="92">
        <f t="shared" si="2"/>
        <v>55564</v>
      </c>
      <c r="C52" s="93" t="s">
        <v>107</v>
      </c>
      <c r="D52" s="94">
        <v>0.125</v>
      </c>
      <c r="E52" s="95">
        <v>51.25</v>
      </c>
      <c r="F52" s="95">
        <v>51.31</v>
      </c>
      <c r="G52" s="96">
        <v>4</v>
      </c>
      <c r="H52" s="94">
        <v>2.6389999999999998</v>
      </c>
      <c r="I52" s="93">
        <v>1147</v>
      </c>
      <c r="J52" s="97">
        <f t="shared" si="4"/>
        <v>51.78125</v>
      </c>
      <c r="K52" s="97">
        <f t="shared" si="4"/>
        <v>51.968750000000007</v>
      </c>
    </row>
    <row r="53" spans="1:12" x14ac:dyDescent="0.35">
      <c r="A53" s="91" t="str">
        <f t="shared" si="1"/>
        <v>2053-0215-1.500</v>
      </c>
      <c r="B53" s="92">
        <f t="shared" si="2"/>
        <v>55930</v>
      </c>
      <c r="C53" s="93" t="s">
        <v>108</v>
      </c>
      <c r="D53" s="94">
        <v>1.5</v>
      </c>
      <c r="E53" s="95">
        <v>77.040000000000006</v>
      </c>
      <c r="F53" s="95">
        <v>77.12</v>
      </c>
      <c r="G53" s="96">
        <v>5</v>
      </c>
      <c r="H53" s="94">
        <v>2.657</v>
      </c>
      <c r="I53" s="93">
        <v>1074</v>
      </c>
      <c r="J53" s="97">
        <f t="shared" si="4"/>
        <v>77.125000000000014</v>
      </c>
      <c r="K53" s="97">
        <f t="shared" si="4"/>
        <v>77.375000000000014</v>
      </c>
    </row>
    <row r="54" spans="1:12" x14ac:dyDescent="0.35">
      <c r="A54" s="91" t="str">
        <f t="shared" si="1"/>
        <v>2054-0215-2.125</v>
      </c>
      <c r="B54" s="92">
        <f t="shared" si="2"/>
        <v>56295</v>
      </c>
      <c r="C54" s="93" t="s">
        <v>139</v>
      </c>
      <c r="D54" s="94">
        <v>2.125</v>
      </c>
      <c r="E54" s="95">
        <v>89.04</v>
      </c>
      <c r="F54" s="95">
        <v>89.13</v>
      </c>
      <c r="G54" s="96">
        <v>5</v>
      </c>
      <c r="H54" s="94">
        <v>2.6549999999999998</v>
      </c>
      <c r="I54" s="93">
        <v>1040</v>
      </c>
      <c r="J54" s="97">
        <f t="shared" si="4"/>
        <v>89.125000000000014</v>
      </c>
      <c r="K54" s="97">
        <f t="shared" si="4"/>
        <v>89.406249999999986</v>
      </c>
    </row>
    <row r="55" spans="1:12" x14ac:dyDescent="0.35">
      <c r="A55" s="91" t="str">
        <f t="shared" si="1"/>
        <v>2055-0215-2.375</v>
      </c>
      <c r="B55" s="92">
        <f t="shared" si="2"/>
        <v>56660</v>
      </c>
      <c r="C55" s="93" t="s">
        <v>244</v>
      </c>
      <c r="D55" s="94">
        <v>2.375</v>
      </c>
      <c r="E55" s="95">
        <v>94.03</v>
      </c>
      <c r="F55" s="95">
        <v>94.12</v>
      </c>
      <c r="G55" s="96">
        <v>5</v>
      </c>
      <c r="H55" s="94">
        <v>2.649</v>
      </c>
      <c r="I55" s="93">
        <v>1012</v>
      </c>
      <c r="J55" s="97">
        <f t="shared" si="4"/>
        <v>94.09375</v>
      </c>
      <c r="K55" s="97">
        <f t="shared" si="4"/>
        <v>94.375000000000014</v>
      </c>
      <c r="L55"/>
    </row>
    <row r="56" spans="1:12" x14ac:dyDescent="0.35">
      <c r="A56" s="91" t="e">
        <f t="shared" si="1"/>
        <v>#VALUE!</v>
      </c>
      <c r="B56" s="92" t="e">
        <f t="shared" si="2"/>
        <v>#VALUE!</v>
      </c>
      <c r="C56" s="93"/>
      <c r="D56" s="94"/>
      <c r="E56" s="95"/>
      <c r="F56" s="95"/>
      <c r="G56" s="96"/>
      <c r="H56" s="94"/>
      <c r="I56" s="93"/>
      <c r="J56" s="97">
        <f t="shared" si="4"/>
        <v>0</v>
      </c>
      <c r="K56" s="97">
        <f t="shared" si="4"/>
        <v>0</v>
      </c>
    </row>
    <row r="57" spans="1:12" x14ac:dyDescent="0.35">
      <c r="A57" s="91" t="e">
        <f t="shared" si="1"/>
        <v>#VALUE!</v>
      </c>
      <c r="B57" s="92" t="e">
        <f t="shared" si="2"/>
        <v>#VALUE!</v>
      </c>
      <c r="C57" s="93"/>
      <c r="D57" s="94"/>
      <c r="E57" s="95"/>
      <c r="F57" s="95"/>
      <c r="G57" s="96"/>
      <c r="H57" s="94"/>
      <c r="I57" s="93"/>
      <c r="J57" s="97">
        <f t="shared" si="4"/>
        <v>0</v>
      </c>
      <c r="K57" s="97">
        <f t="shared" si="4"/>
        <v>0</v>
      </c>
    </row>
    <row r="58" spans="1:12" x14ac:dyDescent="0.35">
      <c r="A58" s="91" t="e">
        <f t="shared" si="1"/>
        <v>#VALUE!</v>
      </c>
      <c r="B58" s="92" t="e">
        <f t="shared" si="2"/>
        <v>#VALUE!</v>
      </c>
      <c r="C58" s="93"/>
      <c r="D58" s="94"/>
      <c r="E58" s="95"/>
      <c r="F58" s="95"/>
      <c r="G58" s="96"/>
      <c r="H58" s="94"/>
      <c r="I58" s="93"/>
      <c r="J58" s="97">
        <f t="shared" si="4"/>
        <v>0</v>
      </c>
      <c r="K58" s="97">
        <f t="shared" si="4"/>
        <v>0</v>
      </c>
    </row>
    <row r="59" spans="1:12" x14ac:dyDescent="0.35">
      <c r="A59" s="91" t="e">
        <f t="shared" si="1"/>
        <v>#VALUE!</v>
      </c>
      <c r="B59" s="92" t="e">
        <f t="shared" si="2"/>
        <v>#VALUE!</v>
      </c>
      <c r="C59" s="93"/>
      <c r="D59" s="94"/>
      <c r="E59" s="95"/>
      <c r="F59" s="95"/>
      <c r="G59" s="96"/>
      <c r="H59" s="94"/>
      <c r="I59" s="93"/>
      <c r="J59" s="97">
        <f t="shared" si="4"/>
        <v>0</v>
      </c>
      <c r="K59" s="97">
        <f t="shared" si="4"/>
        <v>0</v>
      </c>
    </row>
  </sheetData>
  <sheetProtection formatCells="0" formatColumns="0" formatRows="0"/>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93014-1106-412E-9CED-37CEC7D943A1}">
  <dimension ref="A1:H62"/>
  <sheetViews>
    <sheetView workbookViewId="0">
      <selection activeCell="B2" sqref="B2"/>
    </sheetView>
  </sheetViews>
  <sheetFormatPr defaultRowHeight="13" x14ac:dyDescent="0.3"/>
  <cols>
    <col min="1" max="1" width="18.36328125" style="140" customWidth="1"/>
    <col min="2" max="2" width="12.453125" customWidth="1"/>
    <col min="3" max="3" width="11.26953125" bestFit="1" customWidth="1"/>
    <col min="4" max="4" width="11.453125" bestFit="1" customWidth="1"/>
    <col min="5" max="5" width="10.90625" bestFit="1" customWidth="1"/>
    <col min="6" max="6" width="11.453125" bestFit="1" customWidth="1"/>
    <col min="7" max="7" width="10.90625" bestFit="1" customWidth="1"/>
    <col min="8" max="8" width="9.81640625" customWidth="1"/>
  </cols>
  <sheetData>
    <row r="1" spans="1:8" x14ac:dyDescent="0.3">
      <c r="A1" s="140" t="s">
        <v>199</v>
      </c>
      <c r="B1" s="124" t="s">
        <v>205</v>
      </c>
      <c r="C1" s="141" t="s">
        <v>212</v>
      </c>
      <c r="D1" s="141" t="s">
        <v>213</v>
      </c>
      <c r="E1" s="141" t="s">
        <v>214</v>
      </c>
      <c r="F1" s="141" t="s">
        <v>215</v>
      </c>
      <c r="G1" s="141" t="s">
        <v>216</v>
      </c>
      <c r="H1" s="154" t="s">
        <v>207</v>
      </c>
    </row>
    <row r="2" spans="1:8" x14ac:dyDescent="0.3">
      <c r="A2" s="140" t="s">
        <v>219</v>
      </c>
      <c r="B2" s="158">
        <v>10000</v>
      </c>
      <c r="C2" s="141"/>
      <c r="D2" s="141"/>
      <c r="E2" s="141"/>
      <c r="F2" s="141"/>
      <c r="G2" s="141"/>
      <c r="H2" s="154" t="s">
        <v>220</v>
      </c>
    </row>
    <row r="3" spans="1:8" x14ac:dyDescent="0.3">
      <c r="A3" s="140" t="s">
        <v>2</v>
      </c>
      <c r="B3" s="159">
        <v>49324</v>
      </c>
      <c r="C3" s="132"/>
      <c r="D3" s="132"/>
      <c r="E3" s="132"/>
      <c r="F3" s="132"/>
      <c r="G3" s="132"/>
      <c r="H3" s="154" t="s">
        <v>206</v>
      </c>
    </row>
    <row r="4" spans="1:8" x14ac:dyDescent="0.3">
      <c r="A4" s="140" t="s">
        <v>0</v>
      </c>
      <c r="B4" s="160">
        <v>2.1250000000000002E-2</v>
      </c>
      <c r="C4" s="137"/>
      <c r="D4" s="137"/>
      <c r="E4" s="137"/>
      <c r="F4" s="137"/>
      <c r="G4" s="137"/>
      <c r="H4" s="154" t="s">
        <v>211</v>
      </c>
    </row>
    <row r="5" spans="1:8" x14ac:dyDescent="0.3">
      <c r="A5" s="140" t="s">
        <v>228</v>
      </c>
      <c r="B5" s="161">
        <v>10</v>
      </c>
      <c r="H5" s="154" t="s">
        <v>207</v>
      </c>
    </row>
    <row r="6" spans="1:8" x14ac:dyDescent="0.3">
      <c r="A6" s="140" t="s">
        <v>200</v>
      </c>
      <c r="B6" s="132">
        <f>EDATE(B3,-B5*12)</f>
        <v>45672</v>
      </c>
      <c r="C6" s="132"/>
      <c r="D6" s="132"/>
      <c r="E6" s="132"/>
      <c r="F6" s="132"/>
      <c r="G6" s="132"/>
      <c r="H6" s="154" t="str">
        <f>H$3</f>
        <v>m/dd/yyyy</v>
      </c>
    </row>
    <row r="7" spans="1:8" x14ac:dyDescent="0.3">
      <c r="A7" s="140" t="str">
        <f>"Ref CPI "&amp;TEXT(B6,"m/d/yy")</f>
        <v>Ref CPI 1/15/25</v>
      </c>
      <c r="B7" s="144">
        <f>IF(B6&gt;CPI!P5,"NEED CPI",ROUND((VLOOKUP(YEAR(EDATE(B6,-2)),CPI!$A:$M,MONTH(EDATE(B6,-2))+1,FALSE)*(DAY(B6)-1)+VLOOKUP(YEAR(EDATE(B6,-3)),CPI!$A:$M,MONTH(EDATE(B6,-3))+1,FALSE)*(DAY(EOMONTH(B6,0))-DAY(B6)+1))/DAY(EOMONTH(B6,0)),5))</f>
        <v>315.58677</v>
      </c>
      <c r="H7" s="154" t="s">
        <v>210</v>
      </c>
    </row>
    <row r="8" spans="1:8" x14ac:dyDescent="0.3">
      <c r="A8" s="140" t="s">
        <v>221</v>
      </c>
      <c r="B8" s="159">
        <v>45838</v>
      </c>
      <c r="C8" s="159">
        <v>45839</v>
      </c>
      <c r="D8" s="159">
        <v>45839</v>
      </c>
      <c r="E8" s="159">
        <f t="shared" ref="E8:G8" si="0">EDATE(D8,-6)</f>
        <v>45658</v>
      </c>
      <c r="F8" s="159">
        <f t="shared" si="0"/>
        <v>45474</v>
      </c>
      <c r="G8" s="159">
        <f t="shared" si="0"/>
        <v>45292</v>
      </c>
      <c r="H8" s="154" t="str">
        <f>H$3</f>
        <v>m/dd/yyyy</v>
      </c>
    </row>
    <row r="9" spans="1:8" x14ac:dyDescent="0.3">
      <c r="A9" s="140" t="s">
        <v>201</v>
      </c>
      <c r="B9">
        <f t="shared" ref="B9:G9" si="1">DAY(EOMONTH(B8,0))</f>
        <v>30</v>
      </c>
      <c r="C9">
        <f t="shared" si="1"/>
        <v>31</v>
      </c>
      <c r="D9">
        <f t="shared" si="1"/>
        <v>31</v>
      </c>
      <c r="E9">
        <f t="shared" si="1"/>
        <v>31</v>
      </c>
      <c r="F9">
        <f t="shared" si="1"/>
        <v>31</v>
      </c>
      <c r="G9">
        <f t="shared" si="1"/>
        <v>31</v>
      </c>
      <c r="H9" s="154" t="s">
        <v>207</v>
      </c>
    </row>
    <row r="10" spans="1:8" x14ac:dyDescent="0.3">
      <c r="A10" s="140" t="s">
        <v>224</v>
      </c>
      <c r="B10" s="146">
        <f t="shared" ref="B10:G10" si="2">EDATE(B8,-3)</f>
        <v>45746</v>
      </c>
      <c r="C10" s="146">
        <f t="shared" si="2"/>
        <v>45748</v>
      </c>
      <c r="D10" s="146">
        <f t="shared" si="2"/>
        <v>45748</v>
      </c>
      <c r="E10" s="146">
        <f t="shared" si="2"/>
        <v>45566</v>
      </c>
      <c r="F10" s="146">
        <f t="shared" si="2"/>
        <v>45383</v>
      </c>
      <c r="G10" s="146">
        <f t="shared" si="2"/>
        <v>45200</v>
      </c>
      <c r="H10" s="154" t="s">
        <v>208</v>
      </c>
    </row>
    <row r="11" spans="1:8" x14ac:dyDescent="0.3">
      <c r="A11" s="140" t="s">
        <v>202</v>
      </c>
      <c r="B11" s="147">
        <f>IF(B$8&gt;CPI!$P$5,"NEED CPI",VLOOKUP(YEAR(B10),CPI!$A:$M,MONTH(B10)+1,FALSE))</f>
        <v>319.79899999999998</v>
      </c>
      <c r="C11" s="147">
        <f>IF(C$8&gt;CPI!$P$5,"NEED CPI",VLOOKUP(YEAR(C10),CPI!$A:$M,MONTH(C10)+1,FALSE))</f>
        <v>320.79500000000002</v>
      </c>
      <c r="D11" s="147">
        <f>IF(D$8&gt;CPI!$P$5,"NEED CPI",VLOOKUP(YEAR(D10),CPI!$A:$M,MONTH(D10)+1,FALSE))</f>
        <v>320.79500000000002</v>
      </c>
      <c r="E11" s="147">
        <f>IF(E$8&gt;CPI!$P$5,"NEED CPI",VLOOKUP(YEAR(E10),CPI!$A:$M,MONTH(E10)+1,FALSE))</f>
        <v>315.66399999999999</v>
      </c>
      <c r="F11" s="147">
        <f>IF(F$8&gt;CPI!$P$5,"NEED CPI",VLOOKUP(YEAR(F10),CPI!$A:$M,MONTH(F10)+1,FALSE))</f>
        <v>313.548</v>
      </c>
      <c r="G11" s="147">
        <f>IF(G$8&gt;CPI!$P$5,"NEED CPI",VLOOKUP(YEAR(G10),CPI!$A:$M,MONTH(G10)+1,FALSE))</f>
        <v>307.67099999999999</v>
      </c>
      <c r="H11" s="154" t="s">
        <v>209</v>
      </c>
    </row>
    <row r="12" spans="1:8" x14ac:dyDescent="0.3">
      <c r="A12" s="140" t="s">
        <v>225</v>
      </c>
      <c r="B12" s="148">
        <f t="shared" ref="B12" si="3">EDATE(B8,-2)</f>
        <v>45777</v>
      </c>
      <c r="C12" s="148">
        <f t="shared" ref="C12:G12" si="4">EDATE(C8,-2)</f>
        <v>45778</v>
      </c>
      <c r="D12" s="148">
        <f t="shared" si="4"/>
        <v>45778</v>
      </c>
      <c r="E12" s="148">
        <f t="shared" si="4"/>
        <v>45597</v>
      </c>
      <c r="F12" s="148">
        <f t="shared" si="4"/>
        <v>45413</v>
      </c>
      <c r="G12" s="148">
        <f t="shared" si="4"/>
        <v>45231</v>
      </c>
      <c r="H12" s="154" t="str">
        <f>H$10</f>
        <v>mmm yyyy</v>
      </c>
    </row>
    <row r="13" spans="1:8" x14ac:dyDescent="0.3">
      <c r="A13" s="140" t="s">
        <v>202</v>
      </c>
      <c r="B13" s="147">
        <f>IF(B$8&gt;CPI!$P$5,"NEED CPI",VLOOKUP(YEAR(B12),CPI!$A:$M,MONTH(B12)+1,FALSE))</f>
        <v>320.79500000000002</v>
      </c>
      <c r="C13" s="147">
        <f>IF(C$8&gt;CPI!$P$5,"NEED CPI",VLOOKUP(YEAR(C12),CPI!$A:$M,MONTH(C12)+1,FALSE))</f>
        <v>0</v>
      </c>
      <c r="D13" s="147">
        <f>IF(D$8&gt;CPI!$P$5,"NEED CPI",VLOOKUP(YEAR(D12),CPI!$A:$M,MONTH(D12)+1,FALSE))</f>
        <v>0</v>
      </c>
      <c r="E13" s="147">
        <f>IF(E$8&gt;CPI!$P$5,"NEED CPI",VLOOKUP(YEAR(E12),CPI!$A:$M,MONTH(E12)+1,FALSE))</f>
        <v>315.49299999999999</v>
      </c>
      <c r="F13" s="147">
        <f>IF(F$8&gt;CPI!$P$5,"NEED CPI",VLOOKUP(YEAR(F12),CPI!$A:$M,MONTH(F12)+1,FALSE))</f>
        <v>314.06900000000002</v>
      </c>
      <c r="G13" s="147">
        <f>IF(G$8&gt;CPI!$P$5,"NEED CPI",VLOOKUP(YEAR(G12),CPI!$A:$M,MONTH(G12)+1,FALSE))</f>
        <v>307.05099999999999</v>
      </c>
      <c r="H13" s="154" t="str">
        <f>H$11</f>
        <v>##0.000</v>
      </c>
    </row>
    <row r="14" spans="1:8" x14ac:dyDescent="0.3">
      <c r="A14" s="140" t="s">
        <v>226</v>
      </c>
      <c r="B14">
        <f>B13-B11</f>
        <v>0.99600000000003774</v>
      </c>
      <c r="C14">
        <f t="shared" ref="C14:G14" si="5">C13-C11</f>
        <v>-320.79500000000002</v>
      </c>
      <c r="D14">
        <f t="shared" si="5"/>
        <v>-320.79500000000002</v>
      </c>
      <c r="E14">
        <f t="shared" si="5"/>
        <v>-0.17099999999999227</v>
      </c>
      <c r="F14">
        <f t="shared" si="5"/>
        <v>0.52100000000001501</v>
      </c>
      <c r="G14">
        <f t="shared" si="5"/>
        <v>-0.62000000000000455</v>
      </c>
      <c r="H14" s="154" t="str">
        <f>H$11</f>
        <v>##0.000</v>
      </c>
    </row>
    <row r="15" spans="1:8" x14ac:dyDescent="0.3">
      <c r="A15" s="140" t="s">
        <v>227</v>
      </c>
      <c r="B15" s="143">
        <f>B14/B9</f>
        <v>3.3200000000001256E-2</v>
      </c>
      <c r="C15" s="143">
        <f t="shared" ref="C15:G15" si="6">C14/C9</f>
        <v>-10.348225806451614</v>
      </c>
      <c r="D15" s="143">
        <f t="shared" si="6"/>
        <v>-10.348225806451614</v>
      </c>
      <c r="E15" s="143">
        <f t="shared" si="6"/>
        <v>-5.5161290322578152E-3</v>
      </c>
      <c r="F15" s="143">
        <f t="shared" si="6"/>
        <v>1.680645161290371E-2</v>
      </c>
      <c r="G15" s="143">
        <f t="shared" si="6"/>
        <v>-2.0000000000000146E-2</v>
      </c>
      <c r="H15" s="154" t="s">
        <v>222</v>
      </c>
    </row>
    <row r="16" spans="1:8" x14ac:dyDescent="0.3">
      <c r="A16" s="140" t="s">
        <v>223</v>
      </c>
      <c r="B16">
        <f t="shared" ref="B16:G16" si="7">DAY(B8)-1</f>
        <v>29</v>
      </c>
      <c r="C16">
        <f t="shared" si="7"/>
        <v>0</v>
      </c>
      <c r="D16">
        <f t="shared" si="7"/>
        <v>0</v>
      </c>
      <c r="E16">
        <f t="shared" si="7"/>
        <v>0</v>
      </c>
      <c r="F16">
        <f t="shared" si="7"/>
        <v>0</v>
      </c>
      <c r="G16">
        <f t="shared" si="7"/>
        <v>0</v>
      </c>
      <c r="H16" s="154" t="s">
        <v>207</v>
      </c>
    </row>
    <row r="17" spans="1:8" x14ac:dyDescent="0.3">
      <c r="A17" s="140" t="s">
        <v>203</v>
      </c>
      <c r="B17" s="138">
        <f>ROUND(B11+B15*B16,5)</f>
        <v>320.76179999999999</v>
      </c>
      <c r="C17" s="138">
        <f t="shared" ref="C17:G17" si="8">ROUND(C11+C15*C16,5)</f>
        <v>320.79500000000002</v>
      </c>
      <c r="D17" s="138">
        <f t="shared" si="8"/>
        <v>320.79500000000002</v>
      </c>
      <c r="E17" s="138">
        <f t="shared" si="8"/>
        <v>315.66399999999999</v>
      </c>
      <c r="F17" s="138">
        <f t="shared" si="8"/>
        <v>313.548</v>
      </c>
      <c r="G17" s="138">
        <f t="shared" si="8"/>
        <v>307.67099999999999</v>
      </c>
      <c r="H17" s="154" t="str">
        <f t="shared" ref="H17:H18" si="9">H$7</f>
        <v>##0.00000</v>
      </c>
    </row>
    <row r="18" spans="1:8" x14ac:dyDescent="0.3">
      <c r="A18" s="140" t="s">
        <v>204</v>
      </c>
      <c r="B18" s="138">
        <f t="shared" ref="B18:G18" si="10">ROUND(B17/$B7,5)</f>
        <v>1.0164</v>
      </c>
      <c r="C18" s="138">
        <f t="shared" si="10"/>
        <v>1.0165</v>
      </c>
      <c r="D18" s="138">
        <f t="shared" si="10"/>
        <v>1.0165</v>
      </c>
      <c r="E18" s="138">
        <f t="shared" si="10"/>
        <v>1.00024</v>
      </c>
      <c r="F18" s="138">
        <f t="shared" si="10"/>
        <v>0.99353999999999998</v>
      </c>
      <c r="G18" s="138">
        <f t="shared" si="10"/>
        <v>0.97492000000000001</v>
      </c>
      <c r="H18" s="154" t="str">
        <f t="shared" si="9"/>
        <v>##0.00000</v>
      </c>
    </row>
    <row r="19" spans="1:8" x14ac:dyDescent="0.3">
      <c r="A19" s="140" t="s">
        <v>237</v>
      </c>
      <c r="B19" s="145">
        <f>$B2*B18</f>
        <v>10164</v>
      </c>
      <c r="C19" s="145">
        <f t="shared" ref="C19:G19" si="11">$B2*C18</f>
        <v>10165</v>
      </c>
      <c r="D19" s="145">
        <f t="shared" si="11"/>
        <v>10165</v>
      </c>
      <c r="E19" s="145">
        <f t="shared" si="11"/>
        <v>10002.4</v>
      </c>
      <c r="F19" s="145">
        <f t="shared" si="11"/>
        <v>9935.4</v>
      </c>
      <c r="G19" s="145">
        <f t="shared" si="11"/>
        <v>9749.2000000000007</v>
      </c>
      <c r="H19" s="155" t="s">
        <v>236</v>
      </c>
    </row>
    <row r="20" spans="1:8" x14ac:dyDescent="0.3">
      <c r="A20" s="140" t="s">
        <v>217</v>
      </c>
      <c r="B20" s="142">
        <f>COUPDAYS(B8,$B3,2,1)</f>
        <v>181</v>
      </c>
      <c r="C20" s="142">
        <f t="shared" ref="C20:G20" si="12">COUPDAYS(C8,$B3,2,1)</f>
        <v>181</v>
      </c>
      <c r="D20" s="142">
        <f t="shared" si="12"/>
        <v>181</v>
      </c>
      <c r="E20" s="142">
        <f t="shared" si="12"/>
        <v>184</v>
      </c>
      <c r="F20" s="142">
        <f t="shared" si="12"/>
        <v>182</v>
      </c>
      <c r="G20" s="142">
        <f t="shared" si="12"/>
        <v>184</v>
      </c>
      <c r="H20" s="154" t="s">
        <v>207</v>
      </c>
    </row>
    <row r="21" spans="1:8" x14ac:dyDescent="0.3">
      <c r="A21" s="140" t="s">
        <v>218</v>
      </c>
      <c r="B21" s="142">
        <f>COUPDAYBS(B8,$B3,2,1)</f>
        <v>166</v>
      </c>
      <c r="C21" s="142">
        <f t="shared" ref="C21:G21" si="13">COUPDAYBS(C8,$B3,2,1)</f>
        <v>167</v>
      </c>
      <c r="D21" s="142">
        <f t="shared" si="13"/>
        <v>167</v>
      </c>
      <c r="E21" s="142">
        <f t="shared" si="13"/>
        <v>170</v>
      </c>
      <c r="F21" s="142">
        <f t="shared" si="13"/>
        <v>168</v>
      </c>
      <c r="G21" s="142">
        <f t="shared" si="13"/>
        <v>170</v>
      </c>
      <c r="H21" s="154" t="s">
        <v>207</v>
      </c>
    </row>
    <row r="22" spans="1:8" x14ac:dyDescent="0.3">
      <c r="A22" s="140" t="s">
        <v>235</v>
      </c>
      <c r="B22" s="145">
        <f>B19*($B4/2)</f>
        <v>107.99250000000001</v>
      </c>
      <c r="C22" s="145">
        <f t="shared" ref="C22:G22" si="14">C19*($B4/2)</f>
        <v>108.00312500000001</v>
      </c>
      <c r="D22" s="145">
        <f t="shared" si="14"/>
        <v>108.00312500000001</v>
      </c>
      <c r="E22" s="145">
        <f t="shared" si="14"/>
        <v>106.27550000000001</v>
      </c>
      <c r="F22" s="145">
        <f t="shared" si="14"/>
        <v>105.563625</v>
      </c>
      <c r="G22" s="145">
        <f t="shared" si="14"/>
        <v>103.58525000000002</v>
      </c>
      <c r="H22" s="155" t="str">
        <f>H$19</f>
        <v>###,##0.00</v>
      </c>
    </row>
    <row r="23" spans="1:8" x14ac:dyDescent="0.3">
      <c r="A23" s="140" t="s">
        <v>231</v>
      </c>
      <c r="B23" s="145">
        <f>B22*(B21/B20)</f>
        <v>99.042845303867409</v>
      </c>
      <c r="C23" s="145">
        <f t="shared" ref="C23:G23" si="15">C22*(C21/C20)</f>
        <v>99.649292127071831</v>
      </c>
      <c r="D23" s="145">
        <f t="shared" si="15"/>
        <v>99.649292127071831</v>
      </c>
      <c r="E23" s="145">
        <f t="shared" si="15"/>
        <v>98.189320652173919</v>
      </c>
      <c r="F23" s="145">
        <f t="shared" si="15"/>
        <v>97.443346153846164</v>
      </c>
      <c r="G23" s="145">
        <f t="shared" si="15"/>
        <v>95.703763586956541</v>
      </c>
      <c r="H23" s="155" t="str">
        <f>H$19</f>
        <v>###,##0.00</v>
      </c>
    </row>
    <row r="24" spans="1:8" x14ac:dyDescent="0.3">
      <c r="A24" s="140" t="s">
        <v>229</v>
      </c>
      <c r="B24" s="162">
        <v>99.769000000000005</v>
      </c>
      <c r="C24" s="162">
        <f>B24</f>
        <v>99.769000000000005</v>
      </c>
      <c r="D24" s="162">
        <f t="shared" ref="D24:G24" si="16">C24</f>
        <v>99.769000000000005</v>
      </c>
      <c r="E24" s="162">
        <f t="shared" si="16"/>
        <v>99.769000000000005</v>
      </c>
      <c r="F24" s="162">
        <f t="shared" si="16"/>
        <v>99.769000000000005</v>
      </c>
      <c r="G24" s="162">
        <f t="shared" si="16"/>
        <v>99.769000000000005</v>
      </c>
      <c r="H24" s="154" t="s">
        <v>233</v>
      </c>
    </row>
    <row r="25" spans="1:8" x14ac:dyDescent="0.3">
      <c r="A25" s="140" t="s">
        <v>234</v>
      </c>
      <c r="B25" s="137">
        <f>YIELD(B8,$B3,$B4,B24,100,2,1)</f>
        <v>2.1518597219118564E-2</v>
      </c>
      <c r="C25" s="137">
        <f t="shared" ref="C25:G25" si="17">YIELD(C8,$B3,$B4,C24,100,2,1)</f>
        <v>2.1518698234535123E-2</v>
      </c>
      <c r="D25" s="137">
        <f t="shared" si="17"/>
        <v>2.1518698234535123E-2</v>
      </c>
      <c r="E25" s="137">
        <f t="shared" si="17"/>
        <v>2.1506642878962513E-2</v>
      </c>
      <c r="F25" s="137">
        <f t="shared" si="17"/>
        <v>2.1495701714558963E-2</v>
      </c>
      <c r="G25" s="137">
        <f t="shared" si="17"/>
        <v>2.1485780531807334E-2</v>
      </c>
      <c r="H25" s="154" t="s">
        <v>211</v>
      </c>
    </row>
    <row r="26" spans="1:8" x14ac:dyDescent="0.3">
      <c r="A26" s="140" t="s">
        <v>230</v>
      </c>
      <c r="B26" s="139">
        <f>B24*B18</f>
        <v>101.4052116</v>
      </c>
      <c r="C26" s="139">
        <f t="shared" ref="C26:G26" si="18">C24*C18</f>
        <v>101.4151885</v>
      </c>
      <c r="D26" s="139">
        <f t="shared" si="18"/>
        <v>101.4151885</v>
      </c>
      <c r="E26" s="139">
        <f t="shared" si="18"/>
        <v>99.792944560000009</v>
      </c>
      <c r="F26" s="139">
        <f t="shared" si="18"/>
        <v>99.124492259999997</v>
      </c>
      <c r="G26" s="139">
        <f t="shared" si="18"/>
        <v>97.266793480000004</v>
      </c>
      <c r="H26" s="154" t="str">
        <f>H$24</f>
        <v>##0.0000</v>
      </c>
    </row>
    <row r="27" spans="1:8" x14ac:dyDescent="0.3">
      <c r="A27" s="140" t="s">
        <v>238</v>
      </c>
      <c r="B27" s="145">
        <f>B19*(B24/100)</f>
        <v>10140.52116</v>
      </c>
      <c r="C27" s="145">
        <f t="shared" ref="C27:G27" si="19">C19*(C24/100)</f>
        <v>10141.51885</v>
      </c>
      <c r="D27" s="145">
        <f t="shared" si="19"/>
        <v>10141.51885</v>
      </c>
      <c r="E27" s="145">
        <f t="shared" si="19"/>
        <v>9979.2944559999996</v>
      </c>
      <c r="F27" s="145">
        <f t="shared" si="19"/>
        <v>9912.4492260000006</v>
      </c>
      <c r="G27" s="145">
        <f t="shared" si="19"/>
        <v>9726.6793480000015</v>
      </c>
      <c r="H27" s="155" t="str">
        <f t="shared" ref="H27:H28" si="20">H$19</f>
        <v>###,##0.00</v>
      </c>
    </row>
    <row r="28" spans="1:8" x14ac:dyDescent="0.3">
      <c r="A28" s="140" t="s">
        <v>232</v>
      </c>
      <c r="B28" s="145">
        <f>B27+B23</f>
        <v>10239.564005303868</v>
      </c>
      <c r="C28" s="145">
        <f t="shared" ref="C28:G28" si="21">C27+C23</f>
        <v>10241.168142127071</v>
      </c>
      <c r="D28" s="145">
        <f t="shared" si="21"/>
        <v>10241.168142127071</v>
      </c>
      <c r="E28" s="145">
        <f t="shared" si="21"/>
        <v>10077.483776652174</v>
      </c>
      <c r="F28" s="145">
        <f t="shared" si="21"/>
        <v>10009.892572153847</v>
      </c>
      <c r="G28" s="145">
        <f t="shared" si="21"/>
        <v>9822.383111586958</v>
      </c>
      <c r="H28" s="155" t="str">
        <f t="shared" si="20"/>
        <v>###,##0.00</v>
      </c>
    </row>
    <row r="29" spans="1:8" x14ac:dyDescent="0.3">
      <c r="B29" s="145"/>
      <c r="C29" s="145"/>
      <c r="D29" s="145"/>
      <c r="E29" s="145"/>
      <c r="F29" s="145"/>
      <c r="G29" s="145"/>
      <c r="H29" s="157"/>
    </row>
    <row r="31" spans="1:8" x14ac:dyDescent="0.3">
      <c r="A31" s="156" t="str">
        <f>REPT(" ",40)</f>
        <v xml:space="preserve">                                        </v>
      </c>
      <c r="C31" s="154" t="b">
        <v>1</v>
      </c>
      <c r="D31" s="154" t="b">
        <v>0</v>
      </c>
      <c r="E31" s="154" t="b">
        <v>0</v>
      </c>
      <c r="F31" s="154" t="b">
        <f t="shared" ref="F31:G31" si="22">E31</f>
        <v>0</v>
      </c>
      <c r="G31" s="154" t="b">
        <f t="shared" si="22"/>
        <v>0</v>
      </c>
      <c r="H31" t="s">
        <v>245</v>
      </c>
    </row>
    <row r="32" spans="1:8" x14ac:dyDescent="0.3">
      <c r="A32" s="156">
        <v>19</v>
      </c>
      <c r="B32" s="154">
        <v>12</v>
      </c>
      <c r="C32" s="154">
        <f>B32</f>
        <v>12</v>
      </c>
      <c r="D32" s="154">
        <f t="shared" ref="D32:G32" si="23">C32</f>
        <v>12</v>
      </c>
      <c r="E32" s="154">
        <f t="shared" si="23"/>
        <v>12</v>
      </c>
      <c r="F32" s="154">
        <f t="shared" si="23"/>
        <v>12</v>
      </c>
      <c r="G32" s="154">
        <f t="shared" si="23"/>
        <v>12</v>
      </c>
      <c r="H32" t="s">
        <v>246</v>
      </c>
    </row>
    <row r="33" spans="1:8" x14ac:dyDescent="0.3">
      <c r="C33" s="154">
        <f>C31*C32</f>
        <v>12</v>
      </c>
      <c r="D33" s="154">
        <f t="shared" ref="D33:G33" si="24">D31*D32</f>
        <v>0</v>
      </c>
      <c r="E33" s="154">
        <f t="shared" si="24"/>
        <v>0</v>
      </c>
      <c r="F33" s="154">
        <f t="shared" si="24"/>
        <v>0</v>
      </c>
      <c r="G33" s="154">
        <f t="shared" si="24"/>
        <v>0</v>
      </c>
      <c r="H33" t="s">
        <v>247</v>
      </c>
    </row>
    <row r="35" spans="1:8" x14ac:dyDescent="0.3">
      <c r="A35" s="140" t="str">
        <f t="shared" ref="A35:A62" ca="1" si="25">RIGHT("  "&amp;IF(A1="Col A","Row",ROW(A1)),3)&amp;RIGHT(A$31&amp;A1,A$32)&amp;RIGHT(A$31&amp;TEXT(B1,H1),B$32)&amp;IF(C1="","",IF(C$31,RIGHT(A$31&amp;TEXT(C1,H1),C$32),"")&amp;IF(D$31,RIGHT(A$31&amp;TEXT(D1,H1),D$32),"")&amp;IF(E$31,RIGHT(A$31&amp;TEXT(E1,H1),E$32),"")&amp;IF(F$31,RIGHT(A$31&amp;TEXT(F1,H1),F$32),"")&amp;IF(G$31,RIGHT(A$31&amp;TEXT(G1,H1),G$32),""))&amp;IF(_xlfn.ISFORMULA(B1),"  "&amp;IF(C1="",REPT(" ",SUM(C$33:G$33)),"")&amp;_xlfn.FORMULATEXT(B1),"")</f>
        <v>Row              Col A       Col B       Col C</v>
      </c>
    </row>
    <row r="36" spans="1:8" x14ac:dyDescent="0.3">
      <c r="A36" s="140" t="str">
        <f t="shared" ca="1" si="25"/>
        <v xml:space="preserve">  2         Face value      10,000</v>
      </c>
    </row>
    <row r="37" spans="1:8" x14ac:dyDescent="0.3">
      <c r="A37" s="140" t="str">
        <f t="shared" ca="1" si="25"/>
        <v xml:space="preserve">  3            Matures   1/15/2035</v>
      </c>
    </row>
    <row r="38" spans="1:8" x14ac:dyDescent="0.3">
      <c r="A38" s="140" t="str">
        <f t="shared" ca="1" si="25"/>
        <v xml:space="preserve">  4             Coupon      2.125%</v>
      </c>
    </row>
    <row r="39" spans="1:8" x14ac:dyDescent="0.3">
      <c r="A39" s="140" t="str">
        <f t="shared" ca="1" si="25"/>
        <v xml:space="preserve">  5         Term years          10</v>
      </c>
    </row>
    <row r="40" spans="1:8" x14ac:dyDescent="0.3">
      <c r="A40" s="140" t="str">
        <f t="shared" ca="1" si="25"/>
        <v xml:space="preserve">  6         Dated date   1/15/2025              =EDATE(B3,-B5*12)</v>
      </c>
    </row>
    <row r="41" spans="1:8" x14ac:dyDescent="0.3">
      <c r="A41" s="140" t="str">
        <f t="shared" ca="1" si="25"/>
        <v xml:space="preserve">  7    Ref CPI 1/15/25   315.58677              =IF(B6&gt;CPI!P5,"NEED CPI",ROUND((VLOOKUP(YEAR(EDATE(B6,-2)),CPI!$A:$M,MONTH(EDATE(B6,-2))+1,FALSE)*(DAY(B6)-1)+VLOOKUP(YEAR(EDATE(B6,-3)),CPI!$A:$M,MONTH(EDATE(B6,-3))+1,FALSE)*(DAY(EOMONTH(B6,0))-DAY(B6)+1))/DAY(EOMONTH(B6,0)),5))</v>
      </c>
    </row>
    <row r="42" spans="1:8" x14ac:dyDescent="0.3">
      <c r="A42" s="140" t="str">
        <f t="shared" ca="1" si="25"/>
        <v xml:space="preserve">  8         Value date   6/30/2025   7/01/2025</v>
      </c>
    </row>
    <row r="43" spans="1:8" x14ac:dyDescent="0.3">
      <c r="A43" s="140" t="str">
        <f t="shared" ca="1" si="25"/>
        <v xml:space="preserve">  9      Days in month          30          31  =DAY(EOMONTH(B8,0))</v>
      </c>
    </row>
    <row r="44" spans="1:8" x14ac:dyDescent="0.3">
      <c r="A44" s="140" t="str">
        <f t="shared" ca="1" si="25"/>
        <v xml:space="preserve"> 10   CPI month before    Mar 2025    Apr 2025  =EDATE(B8,-3)</v>
      </c>
    </row>
    <row r="45" spans="1:8" x14ac:dyDescent="0.3">
      <c r="A45" s="140" t="str">
        <f t="shared" ca="1" si="25"/>
        <v xml:space="preserve"> 11        Monthly CPI     319.799     320.795  =IF(B$8&gt;CPI!$P$5,"NEED CPI",VLOOKUP(YEAR(B10),CPI!$A:$M,MONTH(B10)+1,FALSE))</v>
      </c>
    </row>
    <row r="46" spans="1:8" x14ac:dyDescent="0.3">
      <c r="A46" s="140" t="str">
        <f t="shared" ca="1" si="25"/>
        <v xml:space="preserve"> 12    CPI month after    Apr 2025    May 2025  =EDATE(B8,-2)</v>
      </c>
    </row>
    <row r="47" spans="1:8" x14ac:dyDescent="0.3">
      <c r="A47" s="140" t="str">
        <f t="shared" ca="1" si="25"/>
        <v xml:space="preserve"> 13        Monthly CPI     320.795       0.000  =IF(B$8&gt;CPI!$P$5,"NEED CPI",VLOOKUP(YEAR(B12),CPI!$A:$M,MONTH(B12)+1,FALSE))</v>
      </c>
    </row>
    <row r="48" spans="1:8" x14ac:dyDescent="0.3">
      <c r="A48" s="140" t="str">
        <f t="shared" ca="1" si="25"/>
        <v xml:space="preserve"> 14     CPI difference       0.996    -320.795  =B13-B11</v>
      </c>
    </row>
    <row r="49" spans="1:1" x14ac:dyDescent="0.3">
      <c r="A49" s="140" t="str">
        <f t="shared" ca="1" si="25"/>
        <v xml:space="preserve"> 15       Diff per day    0.033200  -10.348226  =B14/B9</v>
      </c>
    </row>
    <row r="50" spans="1:1" x14ac:dyDescent="0.3">
      <c r="A50" s="140" t="str">
        <f t="shared" ca="1" si="25"/>
        <v xml:space="preserve"> 16   Interpolate days          29           0  =DAY(B8)-1</v>
      </c>
    </row>
    <row r="51" spans="1:1" x14ac:dyDescent="0.3">
      <c r="A51" s="140" t="str">
        <f t="shared" ca="1" si="25"/>
        <v xml:space="preserve"> 17      Reference CPI   320.76180   320.79500  =ROUND(B11+B15*B16,5)</v>
      </c>
    </row>
    <row r="52" spans="1:1" x14ac:dyDescent="0.3">
      <c r="A52" s="140" t="str">
        <f t="shared" ca="1" si="25"/>
        <v xml:space="preserve"> 18        Index ratio     1.01640     1.01650  =ROUND(B17/$B7,5)</v>
      </c>
    </row>
    <row r="53" spans="1:1" x14ac:dyDescent="0.3">
      <c r="A53" s="140" t="str">
        <f t="shared" ca="1" si="25"/>
        <v xml:space="preserve"> 19  Indexed principal   10,164.00   10,165.00  =$B2*B18</v>
      </c>
    </row>
    <row r="54" spans="1:1" x14ac:dyDescent="0.3">
      <c r="A54" s="140" t="str">
        <f t="shared" ca="1" si="25"/>
        <v xml:space="preserve"> 20     Days in period         181         181  =COUPDAYS(B8,$B3,2,1)</v>
      </c>
    </row>
    <row r="55" spans="1:1" x14ac:dyDescent="0.3">
      <c r="A55" s="140" t="str">
        <f t="shared" ca="1" si="25"/>
        <v xml:space="preserve"> 21        Days before         166         167  =COUPDAYBS(B8,$B3,2,1)</v>
      </c>
    </row>
    <row r="56" spans="1:1" x14ac:dyDescent="0.3">
      <c r="A56" s="140" t="str">
        <f t="shared" ca="1" si="25"/>
        <v xml:space="preserve"> 22   6 month interest      107.99      108.00  =B19*($B4/2)</v>
      </c>
    </row>
    <row r="57" spans="1:1" x14ac:dyDescent="0.3">
      <c r="A57" s="140" t="str">
        <f t="shared" ca="1" si="25"/>
        <v xml:space="preserve"> 23   Accrued interest       99.04       99.65  =B22*(B21/B20)</v>
      </c>
    </row>
    <row r="58" spans="1:1" x14ac:dyDescent="0.3">
      <c r="A58" s="140" t="str">
        <f t="shared" ca="1" si="25"/>
        <v xml:space="preserve"> 24              Price     99.7690     99.7690</v>
      </c>
    </row>
    <row r="59" spans="1:1" x14ac:dyDescent="0.3">
      <c r="A59" s="140" t="str">
        <f t="shared" ca="1" si="25"/>
        <v xml:space="preserve"> 25  Yield to maturity      2.152%      2.152%  =YIELD(B8,$B3,$B4,B24,100,2,1)</v>
      </c>
    </row>
    <row r="60" spans="1:1" x14ac:dyDescent="0.3">
      <c r="A60" s="140" t="str">
        <f t="shared" ca="1" si="25"/>
        <v xml:space="preserve"> 26     Adjusted price    101.4052    101.4152  =B24*B18</v>
      </c>
    </row>
    <row r="61" spans="1:1" x14ac:dyDescent="0.3">
      <c r="A61" s="140" t="str">
        <f t="shared" ca="1" si="25"/>
        <v xml:space="preserve"> 27  Indexd princ cost   10,140.52   10,141.52  =B19*(B24/100)</v>
      </c>
    </row>
    <row r="62" spans="1:1" x14ac:dyDescent="0.3">
      <c r="A62" s="140" t="str">
        <f t="shared" ca="1" si="25"/>
        <v xml:space="preserve"> 28         Total cost   10,239.56   10,241.17  =B27+B23</v>
      </c>
    </row>
  </sheetData>
  <sheetProtection sheet="1" objects="1" scenarios="1" formatCells="0" formatColumns="0" formatRows="0"/>
  <pageMargins left="0.7" right="0.7" top="0.75" bottom="0.75" header="0.3" footer="0.3"/>
  <pageSetup orientation="portrait" verticalDpi="0" r:id="rId1"/>
  <ignoredErrors>
    <ignoredError sqref="B1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09504-EB1B-40F1-BC18-61E470E17833}">
  <dimension ref="A1:P33"/>
  <sheetViews>
    <sheetView workbookViewId="0">
      <pane xSplit="1" ySplit="3" topLeftCell="B27" activePane="bottomRight" state="frozen"/>
      <selection pane="topRight" activeCell="B1" sqref="B1"/>
      <selection pane="bottomLeft" activeCell="A4" sqref="A4"/>
      <selection pane="bottomRight" activeCell="F33" sqref="F33"/>
    </sheetView>
  </sheetViews>
  <sheetFormatPr defaultRowHeight="12.5" x14ac:dyDescent="0.25"/>
  <cols>
    <col min="1" max="1" width="8.7265625" style="124"/>
  </cols>
  <sheetData>
    <row r="1" spans="1:16" ht="13" x14ac:dyDescent="0.3">
      <c r="A1" s="121" t="s">
        <v>142</v>
      </c>
      <c r="B1" s="121" t="s">
        <v>143</v>
      </c>
      <c r="C1" s="121" t="s">
        <v>144</v>
      </c>
      <c r="D1" s="121" t="s">
        <v>145</v>
      </c>
      <c r="E1" s="121" t="s">
        <v>146</v>
      </c>
      <c r="F1" s="121" t="s">
        <v>147</v>
      </c>
      <c r="G1" s="121" t="s">
        <v>148</v>
      </c>
      <c r="H1" s="121" t="s">
        <v>149</v>
      </c>
      <c r="I1" s="121" t="s">
        <v>150</v>
      </c>
      <c r="J1" s="121" t="s">
        <v>151</v>
      </c>
      <c r="K1" s="121" t="s">
        <v>152</v>
      </c>
      <c r="L1" s="121" t="s">
        <v>153</v>
      </c>
      <c r="M1" s="121" t="s">
        <v>154</v>
      </c>
      <c r="O1" s="133" t="s">
        <v>194</v>
      </c>
      <c r="P1" s="132">
        <f>EDATE(DATE(A4,1,1),3)</f>
        <v>35156</v>
      </c>
    </row>
    <row r="2" spans="1:16" ht="13" x14ac:dyDescent="0.3">
      <c r="A2" s="121" t="s">
        <v>155</v>
      </c>
      <c r="B2" s="121" t="s">
        <v>156</v>
      </c>
      <c r="C2" s="121" t="s">
        <v>157</v>
      </c>
      <c r="D2" s="121" t="s">
        <v>158</v>
      </c>
      <c r="E2" s="121" t="s">
        <v>159</v>
      </c>
      <c r="F2" s="121" t="s">
        <v>160</v>
      </c>
      <c r="G2" s="121" t="s">
        <v>161</v>
      </c>
      <c r="H2" s="121" t="s">
        <v>162</v>
      </c>
      <c r="I2" s="121" t="s">
        <v>163</v>
      </c>
      <c r="J2" s="121" t="s">
        <v>164</v>
      </c>
      <c r="K2" s="121" t="s">
        <v>165</v>
      </c>
      <c r="L2" s="121" t="s">
        <v>166</v>
      </c>
      <c r="M2" s="121" t="s">
        <v>167</v>
      </c>
      <c r="O2" s="133" t="s">
        <v>191</v>
      </c>
      <c r="P2">
        <f>COUNT(B:M)</f>
        <v>352</v>
      </c>
    </row>
    <row r="3" spans="1:16" ht="13" x14ac:dyDescent="0.3">
      <c r="A3" s="121" t="s">
        <v>168</v>
      </c>
      <c r="B3" s="121" t="s">
        <v>169</v>
      </c>
      <c r="C3" s="121" t="s">
        <v>170</v>
      </c>
      <c r="D3" s="121" t="s">
        <v>171</v>
      </c>
      <c r="E3" s="121" t="s">
        <v>172</v>
      </c>
      <c r="F3" s="121" t="s">
        <v>173</v>
      </c>
      <c r="G3" s="121" t="s">
        <v>174</v>
      </c>
      <c r="H3" s="121" t="s">
        <v>175</v>
      </c>
      <c r="I3" s="121" t="s">
        <v>176</v>
      </c>
      <c r="J3" s="121" t="s">
        <v>177</v>
      </c>
      <c r="K3" s="121" t="s">
        <v>178</v>
      </c>
      <c r="L3" s="121" t="s">
        <v>179</v>
      </c>
      <c r="M3" s="121" t="s">
        <v>180</v>
      </c>
      <c r="O3" s="133" t="s">
        <v>193</v>
      </c>
      <c r="P3">
        <f>INT((P2-1)/12)+A4</f>
        <v>2025</v>
      </c>
    </row>
    <row r="4" spans="1:16" ht="13" x14ac:dyDescent="0.3">
      <c r="A4" s="124">
        <v>1996</v>
      </c>
      <c r="B4" s="122">
        <v>154.4</v>
      </c>
      <c r="C4" s="122">
        <v>154.9</v>
      </c>
      <c r="D4" s="122">
        <v>155.69999999999999</v>
      </c>
      <c r="E4" s="122">
        <v>156.30000000000001</v>
      </c>
      <c r="F4" s="122">
        <v>156.6</v>
      </c>
      <c r="G4" s="122">
        <v>156.69999999999999</v>
      </c>
      <c r="H4" s="122">
        <v>157</v>
      </c>
      <c r="I4" s="122">
        <v>157.30000000000001</v>
      </c>
      <c r="J4" s="122">
        <v>157.80000000000001</v>
      </c>
      <c r="K4" s="122">
        <v>158.30000000000001</v>
      </c>
      <c r="L4" s="122">
        <v>158.6</v>
      </c>
      <c r="M4" s="122">
        <v>158.6</v>
      </c>
      <c r="O4" s="133" t="s">
        <v>190</v>
      </c>
      <c r="P4">
        <f>MOD(P2-1,12)+1</f>
        <v>4</v>
      </c>
    </row>
    <row r="5" spans="1:16" ht="13" x14ac:dyDescent="0.3">
      <c r="A5" s="124">
        <v>1997</v>
      </c>
      <c r="B5" s="122">
        <v>159.1</v>
      </c>
      <c r="C5" s="122">
        <v>159.6</v>
      </c>
      <c r="D5" s="122">
        <v>160</v>
      </c>
      <c r="E5" s="122">
        <v>160.19999999999999</v>
      </c>
      <c r="F5" s="122">
        <v>160.1</v>
      </c>
      <c r="G5" s="122">
        <v>160.30000000000001</v>
      </c>
      <c r="H5" s="122">
        <v>160.5</v>
      </c>
      <c r="I5" s="122">
        <v>160.80000000000001</v>
      </c>
      <c r="J5" s="122">
        <v>161.19999999999999</v>
      </c>
      <c r="K5" s="122">
        <v>161.6</v>
      </c>
      <c r="L5" s="122">
        <v>161.5</v>
      </c>
      <c r="M5" s="122">
        <v>161.30000000000001</v>
      </c>
      <c r="O5" s="133" t="s">
        <v>192</v>
      </c>
      <c r="P5" s="132">
        <f>EDATE(DATE(P3,P4,1),3)</f>
        <v>45839</v>
      </c>
    </row>
    <row r="6" spans="1:16" x14ac:dyDescent="0.25">
      <c r="A6" s="124">
        <v>1998</v>
      </c>
      <c r="B6" s="122">
        <v>161.6</v>
      </c>
      <c r="C6" s="122">
        <v>161.9</v>
      </c>
      <c r="D6" s="122">
        <v>162.19999999999999</v>
      </c>
      <c r="E6" s="122">
        <v>162.5</v>
      </c>
      <c r="F6" s="122">
        <v>162.80000000000001</v>
      </c>
      <c r="G6" s="122">
        <v>163</v>
      </c>
      <c r="H6" s="122">
        <v>163.19999999999999</v>
      </c>
      <c r="I6" s="122">
        <v>163.4</v>
      </c>
      <c r="J6" s="122">
        <v>163.6</v>
      </c>
      <c r="K6" s="122">
        <v>164</v>
      </c>
      <c r="L6" s="122">
        <v>164</v>
      </c>
      <c r="M6" s="122">
        <v>163.9</v>
      </c>
    </row>
    <row r="7" spans="1:16" x14ac:dyDescent="0.25">
      <c r="A7" s="124">
        <v>1999</v>
      </c>
      <c r="B7" s="122">
        <v>164.3</v>
      </c>
      <c r="C7" s="122">
        <v>164.5</v>
      </c>
      <c r="D7" s="122">
        <v>165</v>
      </c>
      <c r="E7" s="122">
        <v>166.2</v>
      </c>
      <c r="F7" s="122">
        <v>166.2</v>
      </c>
      <c r="G7" s="122">
        <v>166.2</v>
      </c>
      <c r="H7" s="122">
        <v>166.7</v>
      </c>
      <c r="I7" s="122">
        <v>167.1</v>
      </c>
      <c r="J7" s="122">
        <v>167.9</v>
      </c>
      <c r="K7" s="122">
        <v>168.2</v>
      </c>
      <c r="L7" s="122">
        <v>168.3</v>
      </c>
      <c r="M7" s="122">
        <v>168.3</v>
      </c>
    </row>
    <row r="8" spans="1:16" x14ac:dyDescent="0.25">
      <c r="A8" s="124">
        <v>2000</v>
      </c>
      <c r="B8" s="122">
        <v>168.8</v>
      </c>
      <c r="C8" s="122">
        <v>169.8</v>
      </c>
      <c r="D8" s="122">
        <v>171.2</v>
      </c>
      <c r="E8" s="122">
        <v>171.3</v>
      </c>
      <c r="F8" s="122">
        <v>171.5</v>
      </c>
      <c r="G8" s="122">
        <v>172.4</v>
      </c>
      <c r="H8" s="122">
        <v>172.8</v>
      </c>
      <c r="I8" s="122">
        <v>172.8</v>
      </c>
      <c r="J8" s="122">
        <v>173.7</v>
      </c>
      <c r="K8" s="122">
        <v>174</v>
      </c>
      <c r="L8" s="122">
        <v>174.1</v>
      </c>
      <c r="M8" s="122">
        <v>174</v>
      </c>
    </row>
    <row r="9" spans="1:16" x14ac:dyDescent="0.25">
      <c r="A9" s="124">
        <v>2001</v>
      </c>
      <c r="B9" s="122">
        <v>175.1</v>
      </c>
      <c r="C9" s="122">
        <v>175.8</v>
      </c>
      <c r="D9" s="122">
        <v>176.2</v>
      </c>
      <c r="E9" s="122">
        <v>176.9</v>
      </c>
      <c r="F9" s="122">
        <v>177.7</v>
      </c>
      <c r="G9" s="122">
        <v>178</v>
      </c>
      <c r="H9" s="122">
        <v>177.5</v>
      </c>
      <c r="I9" s="122">
        <v>177.5</v>
      </c>
      <c r="J9" s="122">
        <v>178.3</v>
      </c>
      <c r="K9" s="122">
        <v>177.7</v>
      </c>
      <c r="L9" s="122">
        <v>177.4</v>
      </c>
      <c r="M9" s="122">
        <v>176.7</v>
      </c>
    </row>
    <row r="10" spans="1:16" x14ac:dyDescent="0.25">
      <c r="A10" s="124">
        <v>2002</v>
      </c>
      <c r="B10" s="122">
        <v>177.1</v>
      </c>
      <c r="C10" s="122">
        <v>177.8</v>
      </c>
      <c r="D10" s="122">
        <v>178.8</v>
      </c>
      <c r="E10" s="122">
        <v>179.8</v>
      </c>
      <c r="F10" s="122">
        <v>179.8</v>
      </c>
      <c r="G10" s="122">
        <v>179.9</v>
      </c>
      <c r="H10" s="122">
        <v>180.1</v>
      </c>
      <c r="I10" s="122">
        <v>180.7</v>
      </c>
      <c r="J10" s="122">
        <v>181</v>
      </c>
      <c r="K10" s="122">
        <v>181.3</v>
      </c>
      <c r="L10" s="122">
        <v>181.3</v>
      </c>
      <c r="M10" s="122">
        <v>180.9</v>
      </c>
    </row>
    <row r="11" spans="1:16" x14ac:dyDescent="0.25">
      <c r="A11" s="124">
        <v>2003</v>
      </c>
      <c r="B11" s="122">
        <v>181.7</v>
      </c>
      <c r="C11" s="122">
        <v>183.1</v>
      </c>
      <c r="D11" s="122">
        <v>184.2</v>
      </c>
      <c r="E11" s="122">
        <v>183.8</v>
      </c>
      <c r="F11" s="122">
        <v>183.5</v>
      </c>
      <c r="G11" s="122">
        <v>183.7</v>
      </c>
      <c r="H11" s="122">
        <v>183.9</v>
      </c>
      <c r="I11" s="122">
        <v>184.6</v>
      </c>
      <c r="J11" s="122">
        <v>185.2</v>
      </c>
      <c r="K11" s="122">
        <v>185</v>
      </c>
      <c r="L11" s="122">
        <v>184.5</v>
      </c>
      <c r="M11" s="122">
        <v>184.3</v>
      </c>
    </row>
    <row r="12" spans="1:16" x14ac:dyDescent="0.25">
      <c r="A12" s="124">
        <v>2004</v>
      </c>
      <c r="B12" s="122">
        <v>185.2</v>
      </c>
      <c r="C12" s="122">
        <v>186.2</v>
      </c>
      <c r="D12" s="122">
        <v>187.4</v>
      </c>
      <c r="E12" s="122">
        <v>188</v>
      </c>
      <c r="F12" s="122">
        <v>189.1</v>
      </c>
      <c r="G12" s="122">
        <v>189.7</v>
      </c>
      <c r="H12" s="122">
        <v>189.4</v>
      </c>
      <c r="I12" s="122">
        <v>189.5</v>
      </c>
      <c r="J12" s="122">
        <v>189.9</v>
      </c>
      <c r="K12" s="122">
        <v>190.9</v>
      </c>
      <c r="L12" s="122">
        <v>191</v>
      </c>
      <c r="M12" s="122">
        <v>190.3</v>
      </c>
    </row>
    <row r="13" spans="1:16" x14ac:dyDescent="0.25">
      <c r="A13" s="124">
        <v>2005</v>
      </c>
      <c r="B13" s="122">
        <v>190.7</v>
      </c>
      <c r="C13" s="122">
        <v>191.8</v>
      </c>
      <c r="D13" s="122">
        <v>193.3</v>
      </c>
      <c r="E13" s="122">
        <v>194.6</v>
      </c>
      <c r="F13" s="122">
        <v>194.4</v>
      </c>
      <c r="G13" s="122">
        <v>194.5</v>
      </c>
      <c r="H13" s="122">
        <v>195.4</v>
      </c>
      <c r="I13" s="122">
        <v>196.4</v>
      </c>
      <c r="J13" s="122">
        <v>198.8</v>
      </c>
      <c r="K13" s="122">
        <v>199.2</v>
      </c>
      <c r="L13" s="122">
        <v>197.6</v>
      </c>
      <c r="M13" s="122">
        <v>196.8</v>
      </c>
    </row>
    <row r="14" spans="1:16" x14ac:dyDescent="0.25">
      <c r="A14" s="124">
        <v>2006</v>
      </c>
      <c r="B14" s="122">
        <v>198.3</v>
      </c>
      <c r="C14" s="122">
        <v>198.7</v>
      </c>
      <c r="D14" s="122">
        <v>199.8</v>
      </c>
      <c r="E14" s="122">
        <v>201.5</v>
      </c>
      <c r="F14" s="122">
        <v>202.5</v>
      </c>
      <c r="G14" s="122">
        <v>202.9</v>
      </c>
      <c r="H14" s="122">
        <v>203.5</v>
      </c>
      <c r="I14" s="122">
        <v>203.9</v>
      </c>
      <c r="J14" s="122">
        <v>202.9</v>
      </c>
      <c r="K14" s="122">
        <v>201.8</v>
      </c>
      <c r="L14" s="122">
        <v>201.5</v>
      </c>
      <c r="M14" s="122">
        <v>201.8</v>
      </c>
    </row>
    <row r="15" spans="1:16" x14ac:dyDescent="0.25">
      <c r="A15" s="124">
        <v>2007</v>
      </c>
      <c r="B15" s="123">
        <v>202.416</v>
      </c>
      <c r="C15" s="123">
        <v>203.499</v>
      </c>
      <c r="D15" s="123">
        <v>205.352</v>
      </c>
      <c r="E15" s="123">
        <v>206.68600000000001</v>
      </c>
      <c r="F15" s="123">
        <v>207.94900000000001</v>
      </c>
      <c r="G15" s="123">
        <v>208.352</v>
      </c>
      <c r="H15" s="123">
        <v>208.29900000000001</v>
      </c>
      <c r="I15" s="123">
        <v>207.917</v>
      </c>
      <c r="J15" s="123">
        <v>208.49</v>
      </c>
      <c r="K15" s="123">
        <v>208.93600000000001</v>
      </c>
      <c r="L15" s="123">
        <v>210.17699999999999</v>
      </c>
      <c r="M15" s="123">
        <v>210.036</v>
      </c>
    </row>
    <row r="16" spans="1:16" x14ac:dyDescent="0.25">
      <c r="A16" s="124">
        <v>2008</v>
      </c>
      <c r="B16" s="123">
        <v>211.08</v>
      </c>
      <c r="C16" s="123">
        <v>211.69300000000001</v>
      </c>
      <c r="D16" s="123">
        <v>213.52799999999999</v>
      </c>
      <c r="E16" s="123">
        <v>214.82300000000001</v>
      </c>
      <c r="F16" s="123">
        <v>216.63200000000001</v>
      </c>
      <c r="G16" s="123">
        <v>218.815</v>
      </c>
      <c r="H16" s="123">
        <v>219.964</v>
      </c>
      <c r="I16" s="123">
        <v>219.08600000000001</v>
      </c>
      <c r="J16" s="123">
        <v>218.78299999999999</v>
      </c>
      <c r="K16" s="123">
        <v>216.57300000000001</v>
      </c>
      <c r="L16" s="123">
        <v>212.42500000000001</v>
      </c>
      <c r="M16" s="123">
        <v>210.22800000000001</v>
      </c>
    </row>
    <row r="17" spans="1:15" x14ac:dyDescent="0.25">
      <c r="A17" s="124">
        <v>2009</v>
      </c>
      <c r="B17" s="123">
        <v>211.143</v>
      </c>
      <c r="C17" s="123">
        <v>212.19300000000001</v>
      </c>
      <c r="D17" s="123">
        <v>212.709</v>
      </c>
      <c r="E17" s="123">
        <v>213.24</v>
      </c>
      <c r="F17" s="123">
        <v>213.85599999999999</v>
      </c>
      <c r="G17" s="123">
        <v>215.69300000000001</v>
      </c>
      <c r="H17" s="123">
        <v>215.351</v>
      </c>
      <c r="I17" s="123">
        <v>215.834</v>
      </c>
      <c r="J17" s="123">
        <v>215.96899999999999</v>
      </c>
      <c r="K17" s="123">
        <v>216.17699999999999</v>
      </c>
      <c r="L17" s="123">
        <v>216.33</v>
      </c>
      <c r="M17" s="123">
        <v>215.94900000000001</v>
      </c>
    </row>
    <row r="18" spans="1:15" x14ac:dyDescent="0.25">
      <c r="A18" s="124">
        <v>2010</v>
      </c>
      <c r="B18" s="123">
        <v>216.68700000000001</v>
      </c>
      <c r="C18" s="123">
        <v>216.74100000000001</v>
      </c>
      <c r="D18" s="123">
        <v>217.631</v>
      </c>
      <c r="E18" s="123">
        <v>218.00899999999999</v>
      </c>
      <c r="F18" s="123">
        <v>218.178</v>
      </c>
      <c r="G18" s="123">
        <v>217.965</v>
      </c>
      <c r="H18" s="123">
        <v>218.011</v>
      </c>
      <c r="I18" s="123">
        <v>218.31200000000001</v>
      </c>
      <c r="J18" s="123">
        <v>218.43899999999999</v>
      </c>
      <c r="K18" s="123">
        <v>218.71100000000001</v>
      </c>
      <c r="L18" s="123">
        <v>218.803</v>
      </c>
      <c r="M18" s="123">
        <v>219.179</v>
      </c>
    </row>
    <row r="19" spans="1:15" x14ac:dyDescent="0.25">
      <c r="A19" s="124">
        <v>2011</v>
      </c>
      <c r="B19" s="123">
        <v>220.22300000000001</v>
      </c>
      <c r="C19" s="123">
        <v>221.309</v>
      </c>
      <c r="D19" s="123">
        <v>223.46700000000001</v>
      </c>
      <c r="E19" s="123">
        <v>224.90600000000001</v>
      </c>
      <c r="F19" s="123">
        <v>225.964</v>
      </c>
      <c r="G19" s="123">
        <v>225.72200000000001</v>
      </c>
      <c r="H19" s="123">
        <v>225.922</v>
      </c>
      <c r="I19" s="123">
        <v>226.54499999999999</v>
      </c>
      <c r="J19" s="123">
        <v>226.88900000000001</v>
      </c>
      <c r="K19" s="123">
        <v>226.42099999999999</v>
      </c>
      <c r="L19" s="123">
        <v>226.23</v>
      </c>
      <c r="M19" s="123">
        <v>225.672</v>
      </c>
    </row>
    <row r="20" spans="1:15" x14ac:dyDescent="0.25">
      <c r="A20" s="124">
        <v>2012</v>
      </c>
      <c r="B20" s="123">
        <v>226.66499999999999</v>
      </c>
      <c r="C20" s="123">
        <v>227.66300000000001</v>
      </c>
      <c r="D20" s="123">
        <v>229.392</v>
      </c>
      <c r="E20" s="123">
        <v>230.08500000000001</v>
      </c>
      <c r="F20" s="123">
        <v>229.815</v>
      </c>
      <c r="G20" s="123">
        <v>229.47800000000001</v>
      </c>
      <c r="H20" s="123">
        <v>229.10400000000001</v>
      </c>
      <c r="I20" s="123">
        <v>230.37899999999999</v>
      </c>
      <c r="J20" s="123">
        <v>231.40700000000001</v>
      </c>
      <c r="K20" s="123">
        <v>231.31700000000001</v>
      </c>
      <c r="L20" s="123">
        <v>230.221</v>
      </c>
      <c r="M20" s="123">
        <v>229.601</v>
      </c>
    </row>
    <row r="21" spans="1:15" x14ac:dyDescent="0.25">
      <c r="A21" s="124">
        <v>2013</v>
      </c>
      <c r="B21" s="123">
        <v>230.28</v>
      </c>
      <c r="C21" s="123">
        <v>232.166</v>
      </c>
      <c r="D21" s="123">
        <v>232.773</v>
      </c>
      <c r="E21" s="123">
        <v>232.53100000000001</v>
      </c>
      <c r="F21" s="123">
        <v>232.94499999999999</v>
      </c>
      <c r="G21" s="123">
        <v>233.50399999999999</v>
      </c>
      <c r="H21" s="123">
        <v>233.596</v>
      </c>
      <c r="I21" s="123">
        <v>233.87700000000001</v>
      </c>
      <c r="J21" s="123">
        <v>234.149</v>
      </c>
      <c r="K21" s="123">
        <v>233.54599999999999</v>
      </c>
      <c r="L21" s="123">
        <v>233.06899999999999</v>
      </c>
      <c r="M21" s="123">
        <v>233.04900000000001</v>
      </c>
    </row>
    <row r="22" spans="1:15" x14ac:dyDescent="0.25">
      <c r="A22" s="124">
        <v>2014</v>
      </c>
      <c r="B22" s="123">
        <v>233.916</v>
      </c>
      <c r="C22" s="123">
        <v>234.78100000000001</v>
      </c>
      <c r="D22" s="123">
        <v>236.29300000000001</v>
      </c>
      <c r="E22" s="123">
        <v>237.072</v>
      </c>
      <c r="F22" s="123">
        <v>237.9</v>
      </c>
      <c r="G22" s="123">
        <v>238.34299999999999</v>
      </c>
      <c r="H22" s="123">
        <v>238.25</v>
      </c>
      <c r="I22" s="123">
        <v>237.852</v>
      </c>
      <c r="J22" s="123">
        <v>238.03100000000001</v>
      </c>
      <c r="K22" s="123">
        <v>237.43299999999999</v>
      </c>
      <c r="L22" s="123">
        <v>236.15100000000001</v>
      </c>
      <c r="M22" s="123">
        <v>234.81200000000001</v>
      </c>
    </row>
    <row r="23" spans="1:15" x14ac:dyDescent="0.25">
      <c r="A23" s="124">
        <v>2015</v>
      </c>
      <c r="B23" s="123">
        <v>233.70699999999999</v>
      </c>
      <c r="C23" s="123">
        <v>234.72200000000001</v>
      </c>
      <c r="D23" s="123">
        <v>236.119</v>
      </c>
      <c r="E23" s="123">
        <v>236.59899999999999</v>
      </c>
      <c r="F23" s="123">
        <v>237.80500000000001</v>
      </c>
      <c r="G23" s="123">
        <v>238.63800000000001</v>
      </c>
      <c r="H23" s="123">
        <v>238.654</v>
      </c>
      <c r="I23" s="123">
        <v>238.316</v>
      </c>
      <c r="J23" s="123">
        <v>237.94499999999999</v>
      </c>
      <c r="K23" s="123">
        <v>237.83799999999999</v>
      </c>
      <c r="L23" s="123">
        <v>237.33600000000001</v>
      </c>
      <c r="M23" s="123">
        <v>236.52500000000001</v>
      </c>
    </row>
    <row r="24" spans="1:15" x14ac:dyDescent="0.25">
      <c r="A24" s="124">
        <v>2016</v>
      </c>
      <c r="B24" s="123">
        <v>236.916</v>
      </c>
      <c r="C24" s="123">
        <v>237.11099999999999</v>
      </c>
      <c r="D24" s="123">
        <v>238.13200000000001</v>
      </c>
      <c r="E24" s="123">
        <v>239.261</v>
      </c>
      <c r="F24" s="123">
        <v>240.23599999999999</v>
      </c>
      <c r="G24" s="123">
        <v>241.03800000000001</v>
      </c>
      <c r="H24" s="123">
        <v>240.64699999999999</v>
      </c>
      <c r="I24" s="123">
        <v>240.85300000000001</v>
      </c>
      <c r="J24" s="123">
        <v>241.428</v>
      </c>
      <c r="K24" s="123">
        <v>241.72900000000001</v>
      </c>
      <c r="L24" s="123">
        <v>241.35300000000001</v>
      </c>
      <c r="M24" s="123">
        <v>241.43199999999999</v>
      </c>
    </row>
    <row r="25" spans="1:15" x14ac:dyDescent="0.25">
      <c r="A25" s="124">
        <v>2017</v>
      </c>
      <c r="B25" s="123">
        <v>242.839</v>
      </c>
      <c r="C25" s="123">
        <v>243.60300000000001</v>
      </c>
      <c r="D25" s="123">
        <v>243.80099999999999</v>
      </c>
      <c r="E25" s="123">
        <v>244.524</v>
      </c>
      <c r="F25" s="123">
        <v>244.733</v>
      </c>
      <c r="G25" s="123">
        <v>244.95500000000001</v>
      </c>
      <c r="H25" s="123">
        <v>244.786</v>
      </c>
      <c r="I25" s="123">
        <v>245.51900000000001</v>
      </c>
      <c r="J25" s="123">
        <v>246.81899999999999</v>
      </c>
      <c r="K25" s="123">
        <v>246.66300000000001</v>
      </c>
      <c r="L25" s="123">
        <v>246.66900000000001</v>
      </c>
      <c r="M25" s="123">
        <v>246.524</v>
      </c>
    </row>
    <row r="26" spans="1:15" x14ac:dyDescent="0.25">
      <c r="A26" s="124">
        <v>2018</v>
      </c>
      <c r="B26" s="123">
        <v>247.86699999999999</v>
      </c>
      <c r="C26" s="123">
        <v>248.99100000000001</v>
      </c>
      <c r="D26" s="123">
        <v>249.554</v>
      </c>
      <c r="E26" s="123">
        <v>250.54599999999999</v>
      </c>
      <c r="F26" s="123">
        <v>251.58799999999999</v>
      </c>
      <c r="G26" s="123">
        <v>251.989</v>
      </c>
      <c r="H26" s="123">
        <v>252.006</v>
      </c>
      <c r="I26" s="123">
        <v>252.14599999999999</v>
      </c>
      <c r="J26" s="123">
        <v>252.43899999999999</v>
      </c>
      <c r="K26" s="123">
        <v>252.88499999999999</v>
      </c>
      <c r="L26" s="123">
        <v>252.03800000000001</v>
      </c>
      <c r="M26" s="123">
        <v>251.233</v>
      </c>
    </row>
    <row r="27" spans="1:15" x14ac:dyDescent="0.25">
      <c r="A27" s="124">
        <v>2019</v>
      </c>
      <c r="B27" s="123">
        <v>251.71199999999999</v>
      </c>
      <c r="C27" s="123">
        <v>252.77600000000001</v>
      </c>
      <c r="D27" s="123">
        <v>254.202</v>
      </c>
      <c r="E27" s="123">
        <v>255.548</v>
      </c>
      <c r="F27" s="123">
        <v>256.09199999999998</v>
      </c>
      <c r="G27" s="123">
        <v>256.14299999999997</v>
      </c>
      <c r="H27" s="123">
        <v>256.57100000000003</v>
      </c>
      <c r="I27" s="123">
        <v>256.55799999999999</v>
      </c>
      <c r="J27" s="123">
        <v>256.75900000000001</v>
      </c>
      <c r="K27" s="123">
        <v>257.346</v>
      </c>
      <c r="L27" s="123">
        <v>257.20800000000003</v>
      </c>
      <c r="M27" s="123">
        <v>256.97399999999999</v>
      </c>
    </row>
    <row r="28" spans="1:15" x14ac:dyDescent="0.25">
      <c r="A28" s="124">
        <v>2020</v>
      </c>
      <c r="B28" s="123">
        <v>257.971</v>
      </c>
      <c r="C28" s="123">
        <v>258.678</v>
      </c>
      <c r="D28" s="123">
        <v>258.11500000000001</v>
      </c>
      <c r="E28" s="123">
        <v>256.38900000000001</v>
      </c>
      <c r="F28" s="123">
        <v>256.39400000000001</v>
      </c>
      <c r="G28" s="123">
        <v>257.79700000000003</v>
      </c>
      <c r="H28" s="123">
        <v>259.101</v>
      </c>
      <c r="I28" s="123">
        <v>259.91800000000001</v>
      </c>
      <c r="J28" s="123">
        <v>260.27999999999997</v>
      </c>
      <c r="K28" s="123">
        <v>260.38799999999998</v>
      </c>
      <c r="L28" s="123">
        <v>260.22899999999998</v>
      </c>
      <c r="M28" s="123">
        <v>260.47399999999999</v>
      </c>
    </row>
    <row r="29" spans="1:15" x14ac:dyDescent="0.25">
      <c r="A29" s="124">
        <v>2021</v>
      </c>
      <c r="B29" s="123">
        <v>261.58199999999999</v>
      </c>
      <c r="C29" s="123">
        <v>263.01400000000001</v>
      </c>
      <c r="D29" s="123">
        <v>264.87700000000001</v>
      </c>
      <c r="E29" s="123">
        <v>267.05399999999997</v>
      </c>
      <c r="F29" s="123">
        <v>269.19499999999999</v>
      </c>
      <c r="G29" s="123">
        <v>271.69600000000003</v>
      </c>
      <c r="H29" s="123">
        <v>273.00299999999999</v>
      </c>
      <c r="I29" s="123">
        <v>273.56700000000001</v>
      </c>
      <c r="J29" s="123">
        <v>274.31</v>
      </c>
      <c r="K29" s="123">
        <v>276.589</v>
      </c>
      <c r="L29" s="123">
        <v>277.94799999999998</v>
      </c>
      <c r="M29" s="123">
        <v>278.80200000000002</v>
      </c>
    </row>
    <row r="30" spans="1:15" x14ac:dyDescent="0.25">
      <c r="A30" s="124">
        <v>2022</v>
      </c>
      <c r="B30" s="123">
        <v>281.14800000000002</v>
      </c>
      <c r="C30" s="123">
        <v>283.71600000000001</v>
      </c>
      <c r="D30" s="123">
        <v>287.50400000000002</v>
      </c>
      <c r="E30" s="123">
        <v>289.10899999999998</v>
      </c>
      <c r="F30" s="123">
        <v>292.29599999999999</v>
      </c>
      <c r="G30" s="123">
        <v>296.31099999999998</v>
      </c>
      <c r="H30" s="123">
        <v>296.27600000000001</v>
      </c>
      <c r="I30" s="123">
        <v>296.17099999999999</v>
      </c>
      <c r="J30" s="123">
        <v>296.80799999999999</v>
      </c>
      <c r="K30" s="123">
        <v>298.012</v>
      </c>
      <c r="L30" s="123">
        <v>297.71100000000001</v>
      </c>
      <c r="M30" s="123">
        <v>296.79700000000003</v>
      </c>
    </row>
    <row r="31" spans="1:15" x14ac:dyDescent="0.25">
      <c r="A31" s="124">
        <v>2023</v>
      </c>
      <c r="B31" s="123">
        <v>299.17</v>
      </c>
      <c r="C31" s="123">
        <v>300.83999999999997</v>
      </c>
      <c r="D31" s="123">
        <v>301.83600000000001</v>
      </c>
      <c r="E31" s="123">
        <v>303.363</v>
      </c>
      <c r="F31" s="123">
        <v>304.12700000000001</v>
      </c>
      <c r="G31" s="123">
        <v>305.10899999999998</v>
      </c>
      <c r="H31" s="123">
        <v>305.69099999999997</v>
      </c>
      <c r="I31" s="123">
        <v>307.02600000000001</v>
      </c>
      <c r="J31" s="123">
        <v>307.78899999999999</v>
      </c>
      <c r="K31" s="123">
        <v>307.67099999999999</v>
      </c>
      <c r="L31" s="123">
        <v>307.05099999999999</v>
      </c>
      <c r="M31" s="123">
        <v>306.74599999999998</v>
      </c>
    </row>
    <row r="32" spans="1:15" x14ac:dyDescent="0.25">
      <c r="A32" s="124">
        <v>2024</v>
      </c>
      <c r="B32" s="123">
        <v>308.41699999999997</v>
      </c>
      <c r="C32" s="123">
        <v>310.32600000000002</v>
      </c>
      <c r="D32" s="123">
        <v>312.33199999999999</v>
      </c>
      <c r="E32" s="123">
        <v>313.548</v>
      </c>
      <c r="F32" s="123">
        <v>314.06900000000002</v>
      </c>
      <c r="G32" s="123">
        <v>314.17500000000001</v>
      </c>
      <c r="H32" s="123">
        <v>314.54000000000002</v>
      </c>
      <c r="I32" s="123">
        <v>314.79599999999999</v>
      </c>
      <c r="J32" s="123">
        <v>315.30099999999999</v>
      </c>
      <c r="K32" s="123">
        <v>315.66399999999999</v>
      </c>
      <c r="L32" s="123">
        <v>315.49299999999999</v>
      </c>
      <c r="M32" s="123">
        <v>315.60500000000002</v>
      </c>
      <c r="O32" s="157" t="s">
        <v>250</v>
      </c>
    </row>
    <row r="33" spans="1:15" x14ac:dyDescent="0.25">
      <c r="A33" s="124">
        <v>2025</v>
      </c>
      <c r="B33" s="123">
        <v>317.67099999999999</v>
      </c>
      <c r="C33" s="123">
        <v>319.08199999999999</v>
      </c>
      <c r="D33" s="123">
        <v>319.79899999999998</v>
      </c>
      <c r="E33" s="123">
        <v>320.79500000000002</v>
      </c>
      <c r="F33" s="163"/>
      <c r="G33" s="163"/>
      <c r="H33" s="163"/>
      <c r="I33" s="163"/>
      <c r="J33" s="163"/>
      <c r="K33" s="163"/>
      <c r="L33" s="163"/>
      <c r="M33" s="163"/>
      <c r="O33" s="164" t="s">
        <v>127</v>
      </c>
    </row>
  </sheetData>
  <sheetProtection sheet="1" objects="1" scenarios="1" formatCells="0" formatColumns="0" formatRows="0"/>
  <hyperlinks>
    <hyperlink ref="O33" r:id="rId1" xr:uid="{C06A8FBF-2829-4AB2-A895-913AB42D5F1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5"/>
  <sheetViews>
    <sheetView topLeftCell="A84" workbookViewId="0">
      <selection activeCell="B96" sqref="B96"/>
    </sheetView>
  </sheetViews>
  <sheetFormatPr defaultColWidth="9.1796875" defaultRowHeight="13.5" x14ac:dyDescent="0.3"/>
  <cols>
    <col min="1" max="1" width="9.7265625" style="62" bestFit="1" customWidth="1"/>
    <col min="2" max="2" width="3.54296875" style="4" customWidth="1"/>
    <col min="3" max="3" width="3.54296875" style="7" customWidth="1"/>
    <col min="4" max="4" width="109.54296875" style="4" customWidth="1"/>
    <col min="5" max="16384" width="9.1796875" style="4"/>
  </cols>
  <sheetData>
    <row r="1" spans="1:4" x14ac:dyDescent="0.3">
      <c r="A1" s="62">
        <v>40930</v>
      </c>
      <c r="B1" s="4" t="s">
        <v>26</v>
      </c>
    </row>
    <row r="3" spans="1:4" x14ac:dyDescent="0.3">
      <c r="B3" s="1" t="s">
        <v>13</v>
      </c>
    </row>
    <row r="4" spans="1:4" x14ac:dyDescent="0.3">
      <c r="C4" s="7">
        <v>1</v>
      </c>
      <c r="D4" s="4" t="s">
        <v>15</v>
      </c>
    </row>
    <row r="5" spans="1:4" x14ac:dyDescent="0.3">
      <c r="C5" s="7">
        <v>2</v>
      </c>
      <c r="D5" s="4" t="s">
        <v>16</v>
      </c>
    </row>
    <row r="6" spans="1:4" x14ac:dyDescent="0.3">
      <c r="C6" s="7">
        <v>3</v>
      </c>
      <c r="D6" s="4" t="s">
        <v>27</v>
      </c>
    </row>
    <row r="7" spans="1:4" x14ac:dyDescent="0.3">
      <c r="D7" s="63" t="s">
        <v>38</v>
      </c>
    </row>
    <row r="8" spans="1:4" x14ac:dyDescent="0.3">
      <c r="C8" s="7">
        <v>4</v>
      </c>
      <c r="D8" s="4" t="s">
        <v>14</v>
      </c>
    </row>
    <row r="9" spans="1:4" x14ac:dyDescent="0.3">
      <c r="C9" s="7">
        <v>5</v>
      </c>
      <c r="D9" s="4" t="s">
        <v>41</v>
      </c>
    </row>
    <row r="10" spans="1:4" x14ac:dyDescent="0.3">
      <c r="C10" s="7">
        <v>6</v>
      </c>
      <c r="D10" s="4" t="s">
        <v>25</v>
      </c>
    </row>
    <row r="11" spans="1:4" x14ac:dyDescent="0.3">
      <c r="D11" s="63" t="s">
        <v>35</v>
      </c>
    </row>
    <row r="12" spans="1:4" x14ac:dyDescent="0.3">
      <c r="D12" s="63" t="s">
        <v>187</v>
      </c>
    </row>
    <row r="13" spans="1:4" x14ac:dyDescent="0.3">
      <c r="C13" s="7">
        <v>7</v>
      </c>
      <c r="D13" s="2" t="s">
        <v>239</v>
      </c>
    </row>
    <row r="14" spans="1:4" x14ac:dyDescent="0.3">
      <c r="D14" s="63" t="s">
        <v>240</v>
      </c>
    </row>
    <row r="15" spans="1:4" x14ac:dyDescent="0.3">
      <c r="D15" s="63" t="s">
        <v>31</v>
      </c>
    </row>
    <row r="16" spans="1:4" x14ac:dyDescent="0.3">
      <c r="D16" s="65" t="s">
        <v>30</v>
      </c>
    </row>
    <row r="17" spans="2:4" x14ac:dyDescent="0.3">
      <c r="C17" s="7">
        <v>8</v>
      </c>
      <c r="D17" s="2" t="s">
        <v>21</v>
      </c>
    </row>
    <row r="18" spans="2:4" x14ac:dyDescent="0.3">
      <c r="D18" s="63" t="s">
        <v>23</v>
      </c>
    </row>
    <row r="19" spans="2:4" x14ac:dyDescent="0.3">
      <c r="D19" s="63" t="s">
        <v>39</v>
      </c>
    </row>
    <row r="20" spans="2:4" x14ac:dyDescent="0.3">
      <c r="D20" s="63" t="s">
        <v>22</v>
      </c>
    </row>
    <row r="21" spans="2:4" x14ac:dyDescent="0.3">
      <c r="D21" s="64" t="s">
        <v>64</v>
      </c>
    </row>
    <row r="22" spans="2:4" x14ac:dyDescent="0.3">
      <c r="D22" s="63"/>
    </row>
    <row r="23" spans="2:4" x14ac:dyDescent="0.3">
      <c r="B23" s="1" t="s">
        <v>185</v>
      </c>
    </row>
    <row r="24" spans="2:4" x14ac:dyDescent="0.3">
      <c r="B24" s="1"/>
      <c r="C24" s="7">
        <v>1</v>
      </c>
      <c r="D24" s="4" t="s">
        <v>186</v>
      </c>
    </row>
    <row r="25" spans="2:4" x14ac:dyDescent="0.3">
      <c r="D25" s="67" t="s">
        <v>42</v>
      </c>
    </row>
    <row r="26" spans="2:4" x14ac:dyDescent="0.3">
      <c r="B26" s="1"/>
      <c r="C26" s="7">
        <v>2</v>
      </c>
      <c r="D26" s="2" t="s">
        <v>128</v>
      </c>
    </row>
    <row r="27" spans="2:4" x14ac:dyDescent="0.3">
      <c r="B27" s="1"/>
      <c r="D27" s="66" t="s">
        <v>127</v>
      </c>
    </row>
    <row r="29" spans="2:4" x14ac:dyDescent="0.3">
      <c r="B29" s="1" t="s">
        <v>113</v>
      </c>
    </row>
    <row r="30" spans="2:4" x14ac:dyDescent="0.3">
      <c r="B30" s="1"/>
      <c r="C30" s="7">
        <v>1</v>
      </c>
      <c r="D30" s="4" t="s">
        <v>122</v>
      </c>
    </row>
    <row r="31" spans="2:4" x14ac:dyDescent="0.3">
      <c r="B31" s="1"/>
      <c r="C31" s="7">
        <v>2</v>
      </c>
      <c r="D31" s="4" t="s">
        <v>115</v>
      </c>
    </row>
    <row r="32" spans="2:4" x14ac:dyDescent="0.3">
      <c r="B32" s="1"/>
      <c r="D32" s="63" t="s">
        <v>117</v>
      </c>
    </row>
    <row r="33" spans="2:4" x14ac:dyDescent="0.3">
      <c r="B33" s="1"/>
      <c r="D33" s="64" t="s">
        <v>116</v>
      </c>
    </row>
    <row r="34" spans="2:4" x14ac:dyDescent="0.3">
      <c r="B34" s="1"/>
      <c r="D34" s="63" t="s">
        <v>119</v>
      </c>
    </row>
    <row r="35" spans="2:4" x14ac:dyDescent="0.3">
      <c r="B35" s="1"/>
      <c r="D35" s="117" t="s">
        <v>114</v>
      </c>
    </row>
    <row r="36" spans="2:4" x14ac:dyDescent="0.3">
      <c r="B36" s="1"/>
      <c r="D36" s="64" t="s">
        <v>123</v>
      </c>
    </row>
    <row r="37" spans="2:4" x14ac:dyDescent="0.3">
      <c r="B37" s="1"/>
      <c r="D37" s="118" t="s">
        <v>124</v>
      </c>
    </row>
    <row r="38" spans="2:4" x14ac:dyDescent="0.3">
      <c r="B38" s="1"/>
      <c r="D38" s="63" t="s">
        <v>118</v>
      </c>
    </row>
    <row r="39" spans="2:4" x14ac:dyDescent="0.3">
      <c r="B39" s="1"/>
      <c r="D39" s="63" t="s">
        <v>121</v>
      </c>
    </row>
    <row r="40" spans="2:4" x14ac:dyDescent="0.3">
      <c r="B40" s="1"/>
      <c r="C40" s="7">
        <v>3</v>
      </c>
      <c r="D40" s="4" t="s">
        <v>120</v>
      </c>
    </row>
    <row r="41" spans="2:4" x14ac:dyDescent="0.3">
      <c r="B41" s="1"/>
      <c r="D41" s="63" t="s">
        <v>188</v>
      </c>
    </row>
    <row r="42" spans="2:4" x14ac:dyDescent="0.3">
      <c r="B42" s="1"/>
      <c r="D42" s="63" t="s">
        <v>189</v>
      </c>
    </row>
    <row r="43" spans="2:4" x14ac:dyDescent="0.3">
      <c r="B43" s="1"/>
    </row>
    <row r="44" spans="2:4" x14ac:dyDescent="0.3">
      <c r="B44" s="1" t="s">
        <v>17</v>
      </c>
    </row>
    <row r="45" spans="2:4" x14ac:dyDescent="0.3">
      <c r="B45" s="1"/>
      <c r="C45" s="7">
        <v>1</v>
      </c>
      <c r="D45" s="4" t="s">
        <v>20</v>
      </c>
    </row>
    <row r="46" spans="2:4" x14ac:dyDescent="0.3">
      <c r="B46" s="1"/>
      <c r="D46" s="66" t="s">
        <v>51</v>
      </c>
    </row>
    <row r="47" spans="2:4" x14ac:dyDescent="0.3">
      <c r="C47" s="7">
        <v>2</v>
      </c>
      <c r="D47" s="4" t="s">
        <v>18</v>
      </c>
    </row>
    <row r="48" spans="2:4" x14ac:dyDescent="0.3">
      <c r="D48" s="65" t="s">
        <v>29</v>
      </c>
    </row>
    <row r="49" spans="1:4" x14ac:dyDescent="0.3">
      <c r="C49" s="7">
        <v>3</v>
      </c>
      <c r="D49" s="4" t="s">
        <v>19</v>
      </c>
    </row>
    <row r="60" spans="1:4" x14ac:dyDescent="0.3">
      <c r="A60" s="62">
        <v>41131</v>
      </c>
      <c r="B60" s="4" t="s">
        <v>28</v>
      </c>
    </row>
    <row r="61" spans="1:4" x14ac:dyDescent="0.3">
      <c r="C61" s="7">
        <v>1</v>
      </c>
      <c r="D61" s="4" t="s">
        <v>33</v>
      </c>
    </row>
    <row r="62" spans="1:4" x14ac:dyDescent="0.3">
      <c r="C62" s="7">
        <v>2</v>
      </c>
      <c r="D62" s="4" t="s">
        <v>34</v>
      </c>
    </row>
    <row r="63" spans="1:4" x14ac:dyDescent="0.3">
      <c r="C63" s="7">
        <v>3</v>
      </c>
      <c r="D63" s="4" t="s">
        <v>32</v>
      </c>
    </row>
    <row r="64" spans="1:4" x14ac:dyDescent="0.3">
      <c r="A64" s="62">
        <v>41217</v>
      </c>
      <c r="B64" s="4" t="s">
        <v>36</v>
      </c>
    </row>
    <row r="65" spans="1:3" x14ac:dyDescent="0.3">
      <c r="A65" s="62">
        <v>41228</v>
      </c>
      <c r="B65" s="4" t="s">
        <v>37</v>
      </c>
    </row>
    <row r="66" spans="1:3" x14ac:dyDescent="0.3">
      <c r="A66" s="62">
        <v>41600</v>
      </c>
      <c r="B66" s="4" t="s">
        <v>40</v>
      </c>
    </row>
    <row r="67" spans="1:3" x14ac:dyDescent="0.3">
      <c r="A67" s="62">
        <v>41875</v>
      </c>
      <c r="B67" s="4" t="s">
        <v>43</v>
      </c>
    </row>
    <row r="68" spans="1:3" x14ac:dyDescent="0.3">
      <c r="A68" s="62">
        <v>41963</v>
      </c>
      <c r="B68" s="4" t="s">
        <v>44</v>
      </c>
    </row>
    <row r="69" spans="1:3" x14ac:dyDescent="0.3">
      <c r="A69" s="62">
        <v>42325</v>
      </c>
      <c r="B69" s="4" t="s">
        <v>45</v>
      </c>
    </row>
    <row r="70" spans="1:3" x14ac:dyDescent="0.3">
      <c r="A70" s="62">
        <v>42480</v>
      </c>
      <c r="B70" s="4" t="s">
        <v>48</v>
      </c>
    </row>
    <row r="71" spans="1:3" x14ac:dyDescent="0.3">
      <c r="A71" s="62">
        <v>42480</v>
      </c>
      <c r="B71" s="4" t="s">
        <v>47</v>
      </c>
    </row>
    <row r="72" spans="1:3" x14ac:dyDescent="0.3">
      <c r="A72" s="62">
        <v>42691</v>
      </c>
      <c r="B72" s="4" t="s">
        <v>49</v>
      </c>
    </row>
    <row r="73" spans="1:3" x14ac:dyDescent="0.3">
      <c r="A73" s="62">
        <v>43057</v>
      </c>
      <c r="B73" s="4" t="s">
        <v>50</v>
      </c>
    </row>
    <row r="74" spans="1:3" x14ac:dyDescent="0.3">
      <c r="C74" s="4" t="s">
        <v>52</v>
      </c>
    </row>
    <row r="75" spans="1:3" x14ac:dyDescent="0.3">
      <c r="A75" s="62">
        <v>43418</v>
      </c>
      <c r="B75" s="4" t="s">
        <v>53</v>
      </c>
    </row>
    <row r="76" spans="1:3" x14ac:dyDescent="0.3">
      <c r="A76" s="62">
        <v>43699</v>
      </c>
      <c r="B76" s="4" t="s">
        <v>58</v>
      </c>
    </row>
    <row r="77" spans="1:3" x14ac:dyDescent="0.3">
      <c r="C77" s="2" t="s">
        <v>59</v>
      </c>
    </row>
    <row r="78" spans="1:3" x14ac:dyDescent="0.3">
      <c r="A78" s="62">
        <v>43782</v>
      </c>
      <c r="B78" s="4" t="s">
        <v>60</v>
      </c>
    </row>
    <row r="79" spans="1:3" x14ac:dyDescent="0.3">
      <c r="A79" s="62">
        <v>44147</v>
      </c>
      <c r="B79" s="4" t="s">
        <v>61</v>
      </c>
    </row>
    <row r="80" spans="1:3" x14ac:dyDescent="0.3">
      <c r="A80" s="62">
        <v>44510</v>
      </c>
      <c r="B80" s="4" t="s">
        <v>62</v>
      </c>
    </row>
    <row r="81" spans="1:4" x14ac:dyDescent="0.3">
      <c r="A81" s="62">
        <v>44875</v>
      </c>
      <c r="B81" s="4" t="s">
        <v>63</v>
      </c>
    </row>
    <row r="82" spans="1:4" x14ac:dyDescent="0.3">
      <c r="A82" s="62">
        <v>45040</v>
      </c>
      <c r="B82" s="4" t="s">
        <v>66</v>
      </c>
    </row>
    <row r="83" spans="1:4" x14ac:dyDescent="0.3">
      <c r="C83" s="2" t="s">
        <v>65</v>
      </c>
      <c r="D83" s="2"/>
    </row>
    <row r="84" spans="1:4" x14ac:dyDescent="0.3">
      <c r="A84" s="62">
        <v>45165</v>
      </c>
      <c r="B84" s="4" t="s">
        <v>126</v>
      </c>
    </row>
    <row r="85" spans="1:4" x14ac:dyDescent="0.3">
      <c r="B85" s="4" t="s">
        <v>125</v>
      </c>
    </row>
    <row r="86" spans="1:4" x14ac:dyDescent="0.3">
      <c r="A86" s="62">
        <v>45187</v>
      </c>
      <c r="B86" s="4" t="s">
        <v>129</v>
      </c>
    </row>
    <row r="87" spans="1:4" x14ac:dyDescent="0.3">
      <c r="B87" s="4" t="s">
        <v>130</v>
      </c>
    </row>
    <row r="88" spans="1:4" x14ac:dyDescent="0.3">
      <c r="A88" s="62">
        <v>45226</v>
      </c>
      <c r="B88" s="4" t="s">
        <v>131</v>
      </c>
    </row>
    <row r="89" spans="1:4" x14ac:dyDescent="0.3">
      <c r="B89" s="4" t="s">
        <v>132</v>
      </c>
    </row>
    <row r="90" spans="1:4" x14ac:dyDescent="0.3">
      <c r="B90" s="4" t="s">
        <v>133</v>
      </c>
    </row>
    <row r="91" spans="1:4" x14ac:dyDescent="0.3">
      <c r="A91" s="62">
        <v>45244</v>
      </c>
      <c r="B91" s="4" t="s">
        <v>135</v>
      </c>
    </row>
    <row r="92" spans="1:4" x14ac:dyDescent="0.3">
      <c r="A92" s="62">
        <v>45609</v>
      </c>
      <c r="B92" s="4" t="s">
        <v>136</v>
      </c>
    </row>
    <row r="93" spans="1:4" x14ac:dyDescent="0.3">
      <c r="A93" s="62">
        <v>45729</v>
      </c>
      <c r="B93" s="4" t="s">
        <v>141</v>
      </c>
    </row>
    <row r="94" spans="1:4" x14ac:dyDescent="0.3">
      <c r="A94" s="62">
        <v>45792</v>
      </c>
      <c r="B94" s="4" t="s">
        <v>248</v>
      </c>
    </row>
    <row r="95" spans="1:4" x14ac:dyDescent="0.3">
      <c r="B95" s="4" t="s">
        <v>249</v>
      </c>
    </row>
  </sheetData>
  <phoneticPr fontId="5" type="noConversion"/>
  <hyperlinks>
    <hyperlink ref="D48" r:id="rId1" xr:uid="{00000000-0004-0000-0200-000000000000}"/>
    <hyperlink ref="D16" r:id="rId2" xr:uid="{00000000-0004-0000-0200-000001000000}"/>
    <hyperlink ref="D46" r:id="rId3" xr:uid="{00000000-0004-0000-0200-000002000000}"/>
    <hyperlink ref="D35" r:id="rId4" xr:uid="{F3B3E53D-C309-4E05-B4DA-07D72FF996A7}"/>
    <hyperlink ref="D27" r:id="rId5" xr:uid="{99A0F0E7-E854-4303-8C3F-BCA2BA691F9B}"/>
  </hyperlinks>
  <pageMargins left="0.5" right="0.5" top="1" bottom="1" header="0.5" footer="0.5"/>
  <pageSetup paperSize="0" scale="70" orientation="portrait" r:id="rId6"/>
  <headerFooter alignWithMargins="0">
    <oddHeader>&amp;CTIPS Interest &amp;&amp; OID Instructions</oddHeader>
    <oddFooter>&amp;Cprinted &amp;D &amp;T</oddFooter>
  </headerFooter>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Interest&amp;OID</vt:lpstr>
      <vt:lpstr>WSJ</vt:lpstr>
      <vt:lpstr>Weeds</vt:lpstr>
      <vt:lpstr>CPI</vt:lpstr>
      <vt:lpstr>Notes</vt:lpstr>
      <vt:lpstr>'Interest&amp;OID'!Print_Titles</vt:lpstr>
      <vt:lpstr>wsj_paste_here</vt:lpstr>
      <vt:lpstr>wsj_quotes</vt:lpstr>
    </vt:vector>
  </TitlesOfParts>
  <Company>AWUL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Hinkley</dc:creator>
  <cp:lastModifiedBy>Robert Hinkley</cp:lastModifiedBy>
  <cp:lastPrinted>2023-08-27T18:33:57Z</cp:lastPrinted>
  <dcterms:created xsi:type="dcterms:W3CDTF">2012-01-21T16:57:43Z</dcterms:created>
  <dcterms:modified xsi:type="dcterms:W3CDTF">2025-05-15T14:17:34Z</dcterms:modified>
</cp:coreProperties>
</file>